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2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zonmw-my.sharepoint.com/personal/sandel_zonmw_nl/Documents/Documents/"/>
    </mc:Choice>
  </mc:AlternateContent>
  <xr:revisionPtr revIDLastSave="0" documentId="8_{D527A879-DC43-465F-848A-8AD54437BE95}" xr6:coauthVersionLast="47" xr6:coauthVersionMax="47" xr10:uidLastSave="{00000000-0000-0000-0000-000000000000}"/>
  <workbookProtection workbookAlgorithmName="SHA-512" workbookHashValue="q1B388H5+OCMyfjHJE0hWBYJD2M3q823ffhz4VQ47Vdnf6bV8ZaRBvFPKS3FOFatRlXXOQCIl0mDbormG5p1zg==" workbookSaltValue="PDU6XCijn/+EuGIzelFK8g==" workbookSpinCount="100000" lockStructure="1"/>
  <bookViews>
    <workbookView xWindow="-108" yWindow="-108" windowWidth="23256" windowHeight="12456" firstSheet="1" activeTab="1" xr2:uid="{00000000-000D-0000-FFFF-FFFF00000000}"/>
  </bookViews>
  <sheets>
    <sheet name="Summary" sheetId="5" state="hidden" r:id="rId1"/>
    <sheet name="Budget" sheetId="1" r:id="rId2"/>
    <sheet name="Budget modules and explanation" sheetId="7" r:id="rId3"/>
    <sheet name="parameters" sheetId="3" state="hidden" r:id="rId4"/>
    <sheet name="checks" sheetId="4" state="hidden" r:id="rId5"/>
  </sheets>
  <definedNames>
    <definedName name="_xlnm.Print_Area" localSheetId="1">Budget!$A:$H</definedName>
    <definedName name="benchfee_amount">parameters!$B$29</definedName>
    <definedName name="callnaam">Budget!$A$1</definedName>
    <definedName name="cash_cofunding_minperc">parameters!$B$73</definedName>
    <definedName name="cash_invoice">parameters!$B$77</definedName>
    <definedName name="categories_pers_ac">salaries_academic[category]</definedName>
    <definedName name="CfP_tariffs_other_inst">parameters!$B$32</definedName>
    <definedName name="cofunding_inkind_def_rates">parameters!$B$75</definedName>
    <definedName name="cofunding_max_perc">parameters!$B$72</definedName>
    <definedName name="cofunding_max_rate">parameters!$B$76</definedName>
    <definedName name="cofunding_min_perc">parameters!$B$71</definedName>
    <definedName name="cofunding_perc">Budget!#REF!</definedName>
    <definedName name="cofunding_private_minperc">parameters!$B$74</definedName>
    <definedName name="cofunding_threshold">parameters!$B$70</definedName>
    <definedName name="date">Budget!$B$2</definedName>
    <definedName name="empty_lines">parameters!$B$12</definedName>
    <definedName name="file_creation_date">parameters!$B$3</definedName>
    <definedName name="File_number">Budget!$B$5</definedName>
    <definedName name="footer_KU_entrepeneurship2">Budget!$338:$338</definedName>
    <definedName name="footer_materials">Budget!$122:$122</definedName>
    <definedName name="footer_materials2">Budget!$123:$123</definedName>
    <definedName name="HOT_rate_type">parameters!$B$31</definedName>
    <definedName name="HOT_rates">parameters!$B$30</definedName>
    <definedName name="inv_max_total_amount">parameters!$B$58</definedName>
    <definedName name="inv_min_perc_own_contr">parameters!$B$56</definedName>
    <definedName name="inv_min_total_amount">parameters!$B$57</definedName>
    <definedName name="inv_own_contribution">parameters!$B$54</definedName>
    <definedName name="KU_int_maxperc">parameters!$B$63</definedName>
    <definedName name="KU_maxperc">parameters!$B$62</definedName>
    <definedName name="KU_minperc">parameters!$B$61</definedName>
    <definedName name="list_ac_other_combined">list_combined[list type institute - combined:]</definedName>
    <definedName name="list_academic_personnel">list_academic[type institute - academic:]</definedName>
    <definedName name="list_kind_cash_cofunding">list_cofunders[list cofunders]</definedName>
    <definedName name="list_main_app">list_main_applicant[type institute - org main applicant:]</definedName>
    <definedName name="list_personnel_other_inst">list_other[list type institute - other institutes:]</definedName>
    <definedName name="Main_applicant">Budget!$E$2</definedName>
    <definedName name="mat_int_maxperc">parameters!$B$50</definedName>
    <definedName name="Mat_max_amount">parameters!$B$47</definedName>
    <definedName name="mat_max_NWOfunding">parameters!$B$48</definedName>
    <definedName name="mat_maxperc_pers">parameters!$B$49</definedName>
    <definedName name="Max_mat_FTE_year">parameters!$B$47</definedName>
    <definedName name="Max_NWO_funding">parameters!$B$8</definedName>
    <definedName name="max_NWO_funding_with_inv_nature">parameters!$B$7</definedName>
    <definedName name="max_NWO_funding_wo_inv_nature">parameters!$B$6</definedName>
    <definedName name="Max_project_duration">parameters!$B$9</definedName>
    <definedName name="Min_NWO_funding">parameters!$B$4</definedName>
    <definedName name="NFU_rates">parameters!$B$16</definedName>
    <definedName name="notes">Budget!$I$1</definedName>
    <definedName name="organisation_name">parameters!$B$11</definedName>
    <definedName name="organisation_type">parameters!$B$10</definedName>
    <definedName name="pers_3yPhD_min_months">parameters!$B$19</definedName>
    <definedName name="pers_fixed_max_amount">parameters!$B$27</definedName>
    <definedName name="pers_fixed_max_perc">parameters!$B$28</definedName>
    <definedName name="pers_int_amount_audit_stmnt">parameters!$B$41</definedName>
    <definedName name="pers_int_listname">parameters!$B$34</definedName>
    <definedName name="pers_int_maxamount">parameters!$B$38</definedName>
    <definedName name="pers_int_maxperc">parameters!$B$40</definedName>
    <definedName name="pers_int_maxpos">parameters!$B$36</definedName>
    <definedName name="pers_int_minamount">parameters!$B$37</definedName>
    <definedName name="pers_int_minperc">parameters!$B$39</definedName>
    <definedName name="pers_int_minpos">parameters!$B$35</definedName>
    <definedName name="pers_leave_maxperc">parameters!$B$26</definedName>
    <definedName name="pers_other_inst_max_perc">parameters!$B$43</definedName>
    <definedName name="pers_other_inst_max_pos">parameters!$B$42</definedName>
    <definedName name="pers_other_nrhours_year">parameters!$B$33</definedName>
    <definedName name="pers_PD_max_months">parameters!$B$23</definedName>
    <definedName name="pers_PD_min_FTE">parameters!$B$22</definedName>
    <definedName name="pers_PD_min_months">parameters!$B$21</definedName>
    <definedName name="pers_PDEng_max_months">parameters!$B$20</definedName>
    <definedName name="pers_PhD_max_months">parameters!$B$18</definedName>
    <definedName name="pers_PhD_min_months">parameters!$B$17</definedName>
    <definedName name="pers_phy_res_max_months">parameters!$B$25</definedName>
    <definedName name="pers_phy_res_min_months">parameters!$B$24</definedName>
    <definedName name="prog_mngmt_max_amount_perc">parameters!$B$66</definedName>
    <definedName name="prog_mngmt_threshold_amount">parameters!$B$67</definedName>
    <definedName name="Project_title">Budget!$B$3</definedName>
    <definedName name="Research_leave_FTE_months">checks!$C$21</definedName>
    <definedName name="row_cofunding">Summary!$G$34</definedName>
    <definedName name="threshold_inv_nature">parameters!$B$5</definedName>
    <definedName name="threshold_own_contribution">parameters!$B$55</definedName>
    <definedName name="Total_benchfee">benchfee[[#Totals],[Amount]]</definedName>
    <definedName name="Total_cash">Total_invest_by_KI+Total_cofunding_incash+Total_projectfee</definedName>
    <definedName name="Total_cash_via_NWO">Summary!$C$28</definedName>
    <definedName name="Total_cofunding">Budget!$H$155</definedName>
    <definedName name="Total_cofunding_incash">incash[[#Totals],[Amount]]</definedName>
    <definedName name="Total_cofunding_inkind">inkind[[#Totals],[Amount]]</definedName>
    <definedName name="Total_excess_costs">excess_costs[[#Totals],[Amount]]</definedName>
    <definedName name="Total_Fin_NWO">Summary!$B$32</definedName>
    <definedName name="Total_fixed_pers">0</definedName>
    <definedName name="Total_incash_cofunding">incash[[#Totals],[Amount]]</definedName>
    <definedName name="Total_invest_by_KI">0</definedName>
    <definedName name="Total_investments">SUM(investments_small[Amount])</definedName>
    <definedName name="Total_investments_large">0</definedName>
    <definedName name="Total_investments_small">investments_small[[#Totals],[Amount]]</definedName>
    <definedName name="Total_Knowledge_utilisation">Budget!$H$112</definedName>
    <definedName name="Total_material_costs">materials[[#Totals],[Amount]]</definedName>
    <definedName name="Total_NWO_funding">Budget!$H$9</definedName>
    <definedName name="Total_other_inst_2021">0</definedName>
    <definedName name="Total_personnel_ac_institutes">Budget!$H$28</definedName>
    <definedName name="Total_personnel_costs">Budget!$H$43</definedName>
    <definedName name="Total_personnel_other">0</definedName>
    <definedName name="total_private_cof">checks!$Q$22</definedName>
    <definedName name="total_private_cof_incash">checks!$Q$21</definedName>
    <definedName name="total_private_cof_inkind">checks!$P$21</definedName>
    <definedName name="Total_project_budget">Budget!$H$8</definedName>
    <definedName name="Total_project_mngmnt">0</definedName>
    <definedName name="Total_projectfee">0</definedName>
    <definedName name="Total_resources">Summary!$B$18</definedName>
    <definedName name="VSNU_rates">parameters!$B$15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7" i="1" l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76" i="1"/>
  <c r="I145" i="1"/>
  <c r="I146" i="1"/>
  <c r="I147" i="1"/>
  <c r="I148" i="1"/>
  <c r="I149" i="1"/>
  <c r="I150" i="1"/>
  <c r="I151" i="1"/>
  <c r="I152" i="1"/>
  <c r="I153" i="1"/>
  <c r="I144" i="1"/>
  <c r="C260" i="4"/>
  <c r="E260" i="4" a="1"/>
  <c r="E260" i="4" s="1"/>
  <c r="C261" i="4"/>
  <c r="E261" i="4" a="1"/>
  <c r="E261" i="4" s="1"/>
  <c r="C262" i="4"/>
  <c r="E262" i="4" a="1"/>
  <c r="E262" i="4" s="1"/>
  <c r="C263" i="4"/>
  <c r="E263" i="4" a="1"/>
  <c r="E263" i="4" s="1"/>
  <c r="C264" i="4"/>
  <c r="E264" i="4" a="1"/>
  <c r="E264" i="4" s="1"/>
  <c r="H128" i="1" l="1"/>
  <c r="H129" i="1"/>
  <c r="H130" i="1"/>
  <c r="H131" i="1"/>
  <c r="H132" i="1"/>
  <c r="B53" i="4"/>
  <c r="N71" i="4"/>
  <c r="H23" i="1"/>
  <c r="B13" i="5" l="1"/>
  <c r="H121" i="1"/>
  <c r="H10" i="1" s="1" a="1"/>
  <c r="H10" i="1" s="1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I92" i="1" l="1" a="1"/>
  <c r="I92" i="1" s="1"/>
  <c r="P71" i="4"/>
  <c r="P72" i="4"/>
  <c r="P73" i="4"/>
  <c r="P74" i="4"/>
  <c r="P75" i="4"/>
  <c r="P76" i="4"/>
  <c r="P77" i="4"/>
  <c r="P78" i="4"/>
  <c r="P79" i="4"/>
  <c r="P80" i="4"/>
  <c r="C71" i="4"/>
  <c r="C72" i="4"/>
  <c r="C73" i="4"/>
  <c r="C74" i="4"/>
  <c r="C75" i="4"/>
  <c r="C76" i="4"/>
  <c r="C77" i="4"/>
  <c r="C78" i="4"/>
  <c r="C79" i="4"/>
  <c r="C80" i="4"/>
  <c r="T11" i="4" l="1"/>
  <c r="T12" i="4" s="1"/>
  <c r="T13" i="4" s="1"/>
  <c r="T14" i="4" s="1"/>
  <c r="T15" i="4" s="1"/>
  <c r="T16" i="4" s="1"/>
  <c r="T17" i="4" s="1"/>
  <c r="T18" i="4" s="1"/>
  <c r="T19" i="4" s="1"/>
  <c r="T20" i="4" s="1"/>
  <c r="B11" i="4"/>
  <c r="B12" i="4" s="1"/>
  <c r="B13" i="4" s="1"/>
  <c r="B14" i="4" s="1"/>
  <c r="B15" i="4" s="1"/>
  <c r="B16" i="4" s="1"/>
  <c r="B17" i="4" s="1"/>
  <c r="B18" i="4" s="1"/>
  <c r="B19" i="4" s="1"/>
  <c r="B20" i="4" s="1"/>
  <c r="J91" i="1"/>
  <c r="J92" i="1" s="1"/>
  <c r="J72" i="1"/>
  <c r="H72" i="1"/>
  <c r="J153" i="1"/>
  <c r="J140" i="1"/>
  <c r="J112" i="1"/>
  <c r="J42" i="1"/>
  <c r="J28" i="1"/>
  <c r="J43" i="1" l="1"/>
  <c r="J154" i="1"/>
  <c r="V11" i="4"/>
  <c r="V20" i="4"/>
  <c r="V19" i="4"/>
  <c r="V18" i="4"/>
  <c r="V17" i="4"/>
  <c r="V15" i="4"/>
  <c r="V14" i="4"/>
  <c r="V13" i="4"/>
  <c r="V16" i="4"/>
  <c r="V12" i="4"/>
  <c r="U12" i="4"/>
  <c r="U11" i="4"/>
  <c r="U20" i="4"/>
  <c r="U19" i="4"/>
  <c r="U18" i="4"/>
  <c r="U17" i="4"/>
  <c r="U16" i="4"/>
  <c r="U15" i="4"/>
  <c r="U14" i="4"/>
  <c r="U13" i="4"/>
  <c r="H112" i="1"/>
  <c r="W13" i="4" l="1"/>
  <c r="W14" i="4"/>
  <c r="W19" i="4"/>
  <c r="W16" i="4"/>
  <c r="W11" i="4"/>
  <c r="W20" i="4"/>
  <c r="W18" i="4"/>
  <c r="W15" i="4"/>
  <c r="W17" i="4"/>
  <c r="W12" i="4"/>
  <c r="N72" i="4"/>
  <c r="N73" i="4"/>
  <c r="N74" i="4"/>
  <c r="N75" i="4"/>
  <c r="N76" i="4"/>
  <c r="N77" i="4"/>
  <c r="N78" i="4"/>
  <c r="N79" i="4"/>
  <c r="N80" i="4"/>
  <c r="M71" i="4"/>
  <c r="M72" i="4"/>
  <c r="M73" i="4"/>
  <c r="M74" i="4"/>
  <c r="M75" i="4"/>
  <c r="M76" i="4"/>
  <c r="M77" i="4"/>
  <c r="M78" i="4"/>
  <c r="M79" i="4"/>
  <c r="M80" i="4"/>
  <c r="C85" i="4"/>
  <c r="C86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200" i="4"/>
  <c r="B44" i="4" l="1"/>
  <c r="B43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B51" i="4"/>
  <c r="D200" i="4" l="1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E252" i="4" a="1"/>
  <c r="E252" i="4" s="1"/>
  <c r="E253" i="4" a="1"/>
  <c r="E253" i="4" s="1"/>
  <c r="E254" i="4" a="1"/>
  <c r="E254" i="4" s="1"/>
  <c r="E255" i="4" a="1"/>
  <c r="E255" i="4" s="1"/>
  <c r="E256" i="4" a="1"/>
  <c r="E256" i="4" s="1"/>
  <c r="E257" i="4" a="1"/>
  <c r="E257" i="4" s="1"/>
  <c r="E258" i="4" a="1"/>
  <c r="E258" i="4" s="1"/>
  <c r="E259" i="4" a="1"/>
  <c r="E259" i="4" s="1"/>
  <c r="E265" i="4" a="1"/>
  <c r="E265" i="4" s="1"/>
  <c r="H20" i="1" l="1"/>
  <c r="H21" i="1"/>
  <c r="H22" i="1"/>
  <c r="H24" i="1"/>
  <c r="H25" i="1"/>
  <c r="H26" i="1"/>
  <c r="H27" i="1"/>
  <c r="E71" i="4"/>
  <c r="B39" i="4"/>
  <c r="I71" i="4"/>
  <c r="I72" i="4"/>
  <c r="I73" i="4"/>
  <c r="I74" i="4"/>
  <c r="I75" i="4"/>
  <c r="I76" i="4"/>
  <c r="I77" i="4"/>
  <c r="I78" i="4"/>
  <c r="I79" i="4"/>
  <c r="I80" i="4"/>
  <c r="H71" i="4"/>
  <c r="H72" i="4"/>
  <c r="H73" i="4"/>
  <c r="H74" i="4"/>
  <c r="H75" i="4"/>
  <c r="H76" i="4"/>
  <c r="H77" i="4"/>
  <c r="H78" i="4"/>
  <c r="H79" i="4"/>
  <c r="H80" i="4"/>
  <c r="B40" i="4"/>
  <c r="B41" i="4"/>
  <c r="N11" i="4"/>
  <c r="K71" i="4"/>
  <c r="K72" i="4"/>
  <c r="K73" i="4"/>
  <c r="K74" i="4"/>
  <c r="K75" i="4"/>
  <c r="K76" i="4"/>
  <c r="K77" i="4"/>
  <c r="K78" i="4"/>
  <c r="K79" i="4"/>
  <c r="K80" i="4"/>
  <c r="J76" i="4"/>
  <c r="J71" i="4"/>
  <c r="J72" i="4"/>
  <c r="J73" i="4"/>
  <c r="J74" i="4"/>
  <c r="J75" i="4"/>
  <c r="J77" i="4"/>
  <c r="J78" i="4"/>
  <c r="J79" i="4"/>
  <c r="J80" i="4"/>
  <c r="B36" i="4"/>
  <c r="F71" i="4" s="1"/>
  <c r="D12" i="4" l="1"/>
  <c r="C11" i="4"/>
  <c r="E11" i="4" s="1"/>
  <c r="D11" i="4"/>
  <c r="B37" i="4"/>
  <c r="G76" i="4" s="1"/>
  <c r="G71" i="4"/>
  <c r="G72" i="4"/>
  <c r="G73" i="4"/>
  <c r="G74" i="4"/>
  <c r="G75" i="4"/>
  <c r="G77" i="4"/>
  <c r="G78" i="4"/>
  <c r="G79" i="4"/>
  <c r="G80" i="4"/>
  <c r="F72" i="4"/>
  <c r="F73" i="4"/>
  <c r="F74" i="4"/>
  <c r="F75" i="4"/>
  <c r="F76" i="4"/>
  <c r="F77" i="4"/>
  <c r="F78" i="4"/>
  <c r="F79" i="4"/>
  <c r="F80" i="4"/>
  <c r="C12" i="4" l="1"/>
  <c r="E12" i="4" s="1"/>
  <c r="F12" i="4" s="1"/>
  <c r="F11" i="4"/>
  <c r="C13" i="4" l="1"/>
  <c r="E13" i="4" s="1"/>
  <c r="D13" i="4"/>
  <c r="B54" i="4"/>
  <c r="E251" i="4" s="1" a="1"/>
  <c r="E251" i="4" s="1"/>
  <c r="F13" i="4" l="1"/>
  <c r="E15" i="4"/>
  <c r="C14" i="4"/>
  <c r="E14" i="4" s="1"/>
  <c r="D14" i="4"/>
  <c r="C251" i="4"/>
  <c r="C252" i="4"/>
  <c r="C254" i="4"/>
  <c r="C256" i="4"/>
  <c r="C257" i="4"/>
  <c r="C259" i="4"/>
  <c r="F14" i="4" l="1"/>
  <c r="E16" i="4"/>
  <c r="C15" i="4"/>
  <c r="D15" i="4"/>
  <c r="F15" i="4"/>
  <c r="E17" i="4" l="1"/>
  <c r="D16" i="4"/>
  <c r="C16" i="4"/>
  <c r="F16" i="4"/>
  <c r="B34" i="4"/>
  <c r="C255" i="4" s="1"/>
  <c r="E18" i="4" l="1"/>
  <c r="F17" i="4"/>
  <c r="C17" i="4"/>
  <c r="D17" i="4"/>
  <c r="C201" i="4"/>
  <c r="C87" i="4"/>
  <c r="C229" i="4"/>
  <c r="C258" i="4"/>
  <c r="C265" i="4"/>
  <c r="C253" i="4"/>
  <c r="E72" i="4"/>
  <c r="E73" i="4"/>
  <c r="E74" i="4"/>
  <c r="E75" i="4"/>
  <c r="E76" i="4"/>
  <c r="E77" i="4"/>
  <c r="E78" i="4"/>
  <c r="E79" i="4"/>
  <c r="E80" i="4"/>
  <c r="D71" i="4"/>
  <c r="D72" i="4"/>
  <c r="D73" i="4"/>
  <c r="D74" i="4"/>
  <c r="D75" i="4"/>
  <c r="D76" i="4"/>
  <c r="D77" i="4"/>
  <c r="D78" i="4"/>
  <c r="D79" i="4"/>
  <c r="D80" i="4"/>
  <c r="E19" i="4" l="1"/>
  <c r="F18" i="4"/>
  <c r="D18" i="4"/>
  <c r="C18" i="4"/>
  <c r="O71" i="4"/>
  <c r="O72" i="4"/>
  <c r="O73" i="4"/>
  <c r="O74" i="4"/>
  <c r="O75" i="4"/>
  <c r="O76" i="4"/>
  <c r="O77" i="4"/>
  <c r="O78" i="4"/>
  <c r="O79" i="4"/>
  <c r="O80" i="4"/>
  <c r="E20" i="4" l="1"/>
  <c r="C21" i="4" s="1"/>
  <c r="D19" i="4"/>
  <c r="C19" i="4"/>
  <c r="F19" i="4"/>
  <c r="C20" i="4" l="1"/>
  <c r="F20" i="4"/>
  <c r="H11" i="4" s="1" a="1"/>
  <c r="H11" i="4" s="1"/>
  <c r="H12" i="4" s="1" a="1"/>
  <c r="H12" i="4" s="1"/>
  <c r="H13" i="4" s="1" a="1"/>
  <c r="H13" i="4" s="1"/>
  <c r="H14" i="4" s="1" a="1"/>
  <c r="H14" i="4" s="1"/>
  <c r="H15" i="4" s="1" a="1"/>
  <c r="H15" i="4" s="1"/>
  <c r="H16" i="4" s="1" a="1"/>
  <c r="H16" i="4" s="1"/>
  <c r="H17" i="4" s="1" a="1"/>
  <c r="H17" i="4" s="1"/>
  <c r="H18" i="4" s="1" a="1"/>
  <c r="H18" i="4" s="1"/>
  <c r="H19" i="4" s="1" a="1"/>
  <c r="H19" i="4" s="1"/>
  <c r="H20" i="4" s="1" a="1"/>
  <c r="H20" i="4" s="1"/>
  <c r="D20" i="4"/>
  <c r="B103" i="3"/>
  <c r="A103" i="3"/>
  <c r="P12" i="4" l="1"/>
  <c r="P13" i="4"/>
  <c r="P14" i="4"/>
  <c r="P15" i="4"/>
  <c r="P16" i="4"/>
  <c r="P17" i="4"/>
  <c r="P18" i="4"/>
  <c r="P19" i="4"/>
  <c r="P20" i="4"/>
  <c r="Q12" i="4"/>
  <c r="Q13" i="4"/>
  <c r="Q14" i="4"/>
  <c r="Q15" i="4"/>
  <c r="Q16" i="4"/>
  <c r="Q17" i="4"/>
  <c r="Q18" i="4"/>
  <c r="Q19" i="4"/>
  <c r="Q20" i="4"/>
  <c r="Q11" i="4"/>
  <c r="Q21" i="4" l="1"/>
  <c r="H127" i="1"/>
  <c r="H133" i="1"/>
  <c r="H134" i="1"/>
  <c r="H135" i="1"/>
  <c r="D260" i="4" s="1"/>
  <c r="H136" i="1"/>
  <c r="D261" i="4" s="1"/>
  <c r="H137" i="1"/>
  <c r="D262" i="4" s="1"/>
  <c r="H138" i="1"/>
  <c r="D263" i="4" s="1"/>
  <c r="H139" i="1"/>
  <c r="D264" i="4" s="1"/>
  <c r="H140" i="1"/>
  <c r="H126" i="1"/>
  <c r="P11" i="4" s="1"/>
  <c r="P21" i="4" s="1"/>
  <c r="B261" i="4" l="1" a="1"/>
  <c r="B261" i="4" s="1"/>
  <c r="I136" i="1" s="1"/>
  <c r="B262" i="4" a="1"/>
  <c r="B262" i="4" s="1"/>
  <c r="I137" i="1" s="1"/>
  <c r="B264" i="4" a="1"/>
  <c r="B264" i="4" s="1"/>
  <c r="I139" i="1" s="1"/>
  <c r="B263" i="4" a="1"/>
  <c r="B263" i="4" s="1"/>
  <c r="I138" i="1" s="1"/>
  <c r="B260" i="4" a="1"/>
  <c r="B260" i="4" s="1"/>
  <c r="I135" i="1" s="1"/>
  <c r="D257" i="4"/>
  <c r="D256" i="4"/>
  <c r="D251" i="4"/>
  <c r="B251" i="4" s="1" a="1"/>
  <c r="B251" i="4" s="1"/>
  <c r="D255" i="4"/>
  <c r="D259" i="4"/>
  <c r="D254" i="4"/>
  <c r="D265" i="4"/>
  <c r="D252" i="4"/>
  <c r="D258" i="4"/>
  <c r="D253" i="4"/>
  <c r="H141" i="1"/>
  <c r="B257" i="4" l="1" a="1"/>
  <c r="B257" i="4" s="1"/>
  <c r="I132" i="1" s="1"/>
  <c r="B255" i="4" a="1"/>
  <c r="B255" i="4" s="1"/>
  <c r="I130" i="1" s="1"/>
  <c r="B256" i="4" a="1"/>
  <c r="B256" i="4" s="1"/>
  <c r="I131" i="1" s="1"/>
  <c r="B253" i="4" a="1"/>
  <c r="B253" i="4" s="1"/>
  <c r="I128" i="1" s="1"/>
  <c r="B258" i="4" a="1"/>
  <c r="B258" i="4" s="1"/>
  <c r="I133" i="1" s="1"/>
  <c r="B252" i="4" a="1"/>
  <c r="B252" i="4" s="1"/>
  <c r="I127" i="1" s="1"/>
  <c r="B265" i="4" a="1"/>
  <c r="B265" i="4" s="1"/>
  <c r="I140" i="1" s="1"/>
  <c r="B254" i="4" a="1"/>
  <c r="B254" i="4" s="1"/>
  <c r="I129" i="1" s="1"/>
  <c r="B259" i="4" a="1"/>
  <c r="B259" i="4" s="1"/>
  <c r="I134" i="1" s="1"/>
  <c r="H11" i="1" a="1"/>
  <c r="H11" i="1" s="1"/>
  <c r="I126" i="1"/>
  <c r="E32" i="1"/>
  <c r="E33" i="1"/>
  <c r="E34" i="1"/>
  <c r="E35" i="1"/>
  <c r="E36" i="1"/>
  <c r="E37" i="1"/>
  <c r="E38" i="1"/>
  <c r="E39" i="1"/>
  <c r="E40" i="1"/>
  <c r="E41" i="1"/>
  <c r="H91" i="1" l="1"/>
  <c r="H92" i="1" s="1" a="1"/>
  <c r="H92" i="1" s="1"/>
  <c r="B50" i="4" l="1"/>
  <c r="B55" i="4" l="1"/>
  <c r="L71" i="4"/>
  <c r="L72" i="4"/>
  <c r="L73" i="4"/>
  <c r="L74" i="4"/>
  <c r="L75" i="4"/>
  <c r="L76" i="4"/>
  <c r="L77" i="4"/>
  <c r="L78" i="4"/>
  <c r="L79" i="4"/>
  <c r="L80" i="4"/>
  <c r="B42" i="4"/>
  <c r="B7" i="5" l="1"/>
  <c r="B6" i="5"/>
  <c r="B5" i="5"/>
  <c r="B4" i="5"/>
  <c r="B3" i="5"/>
  <c r="B2" i="5"/>
  <c r="R11" i="4" l="1"/>
  <c r="R13" i="4"/>
  <c r="R16" i="4"/>
  <c r="R18" i="4"/>
  <c r="R17" i="4" l="1"/>
  <c r="R20" i="4"/>
  <c r="R19" i="4"/>
  <c r="R15" i="4"/>
  <c r="R14" i="4" l="1"/>
  <c r="R12" i="4" l="1"/>
  <c r="B23" i="5"/>
  <c r="Q22" i="4" l="1"/>
  <c r="C135" i="3" l="1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H18" i="1" l="1"/>
  <c r="H19" i="1"/>
  <c r="B24" i="5"/>
  <c r="D24" i="5"/>
  <c r="B17" i="5" l="1"/>
  <c r="H28" i="1" l="1"/>
  <c r="H154" i="1" l="1"/>
  <c r="H12" i="1" l="1" a="1"/>
  <c r="H12" i="1" s="1"/>
  <c r="H155" i="1" a="1"/>
  <c r="H155" i="1" s="1"/>
  <c r="C25" i="5"/>
  <c r="B25" i="5"/>
  <c r="D25" i="5" l="1"/>
  <c r="A538" i="3" l="1"/>
  <c r="C538" i="3" s="1"/>
  <c r="A537" i="3"/>
  <c r="C537" i="3" s="1"/>
  <c r="A534" i="3"/>
  <c r="C534" i="3" s="1"/>
  <c r="A532" i="3"/>
  <c r="C532" i="3" s="1"/>
  <c r="A535" i="3"/>
  <c r="C535" i="3" s="1"/>
  <c r="A533" i="3"/>
  <c r="C533" i="3" s="1"/>
  <c r="A539" i="3"/>
  <c r="C539" i="3" s="1"/>
  <c r="A540" i="3"/>
  <c r="C540" i="3" s="1"/>
  <c r="A536" i="3"/>
  <c r="C536" i="3" s="1"/>
  <c r="B27" i="5" l="1" a="1"/>
  <c r="B27" i="5" s="1"/>
  <c r="B26" i="5"/>
  <c r="C26" i="5"/>
  <c r="D26" i="5" l="1"/>
  <c r="C27" i="5"/>
  <c r="H13" i="1"/>
  <c r="D28" i="5" l="1"/>
  <c r="D27" i="5"/>
  <c r="B15" i="5" l="1"/>
  <c r="B33" i="4" l="1"/>
  <c r="I30" i="1" l="1"/>
  <c r="I31" i="1" l="1"/>
  <c r="J11" i="4" l="1"/>
  <c r="B32" i="1" s="1"/>
  <c r="L11" i="4"/>
  <c r="F32" i="1" s="1"/>
  <c r="I11" i="4"/>
  <c r="A32" i="1" s="1"/>
  <c r="M11" i="4"/>
  <c r="G32" i="1" s="1"/>
  <c r="K11" i="4"/>
  <c r="C32" i="1" s="1"/>
  <c r="I29" i="1"/>
  <c r="K12" i="4"/>
  <c r="C33" i="1" s="1"/>
  <c r="M12" i="4"/>
  <c r="G33" i="1" s="1"/>
  <c r="J12" i="4"/>
  <c r="B33" i="1" s="1"/>
  <c r="I12" i="4"/>
  <c r="A33" i="1" s="1"/>
  <c r="H33" i="1" s="1"/>
  <c r="L12" i="4"/>
  <c r="F33" i="1" s="1"/>
  <c r="I32" i="1" l="1"/>
  <c r="H32" i="1"/>
  <c r="I33" i="1"/>
  <c r="K13" i="4"/>
  <c r="C34" i="1" s="1"/>
  <c r="I13" i="4"/>
  <c r="A34" i="1" s="1"/>
  <c r="H34" i="1" s="1"/>
  <c r="L13" i="4"/>
  <c r="F34" i="1" s="1"/>
  <c r="M13" i="4"/>
  <c r="G34" i="1" s="1"/>
  <c r="J13" i="4"/>
  <c r="B34" i="1" s="1"/>
  <c r="I34" i="1" l="1"/>
  <c r="M14" i="4"/>
  <c r="G35" i="1" s="1"/>
  <c r="L14" i="4"/>
  <c r="F35" i="1" s="1"/>
  <c r="I14" i="4"/>
  <c r="A35" i="1" s="1"/>
  <c r="H35" i="1" s="1"/>
  <c r="K14" i="4"/>
  <c r="C35" i="1" s="1"/>
  <c r="J14" i="4"/>
  <c r="B35" i="1" s="1"/>
  <c r="I35" i="1" l="1"/>
  <c r="I15" i="4"/>
  <c r="A36" i="1" s="1"/>
  <c r="H36" i="1" s="1"/>
  <c r="M15" i="4"/>
  <c r="G36" i="1" s="1"/>
  <c r="K15" i="4"/>
  <c r="C36" i="1" s="1"/>
  <c r="J15" i="4"/>
  <c r="B36" i="1" s="1"/>
  <c r="L15" i="4"/>
  <c r="F36" i="1" s="1"/>
  <c r="I36" i="1" l="1"/>
  <c r="L16" i="4"/>
  <c r="F37" i="1" s="1"/>
  <c r="M16" i="4"/>
  <c r="G37" i="1" s="1"/>
  <c r="I16" i="4"/>
  <c r="A37" i="1" s="1"/>
  <c r="H37" i="1" s="1"/>
  <c r="J16" i="4"/>
  <c r="B37" i="1" s="1"/>
  <c r="K16" i="4"/>
  <c r="C37" i="1" s="1"/>
  <c r="I37" i="1" l="1"/>
  <c r="K17" i="4"/>
  <c r="C38" i="1" s="1"/>
  <c r="M17" i="4"/>
  <c r="G38" i="1" s="1"/>
  <c r="L17" i="4"/>
  <c r="F38" i="1" s="1"/>
  <c r="I17" i="4"/>
  <c r="A38" i="1" s="1"/>
  <c r="H38" i="1" s="1"/>
  <c r="J17" i="4"/>
  <c r="B38" i="1" s="1"/>
  <c r="I38" i="1" l="1"/>
  <c r="J18" i="4"/>
  <c r="B39" i="1" s="1"/>
  <c r="L18" i="4"/>
  <c r="F39" i="1" s="1"/>
  <c r="I18" i="4"/>
  <c r="A39" i="1" s="1"/>
  <c r="H39" i="1" s="1"/>
  <c r="M18" i="4"/>
  <c r="G39" i="1" s="1"/>
  <c r="K18" i="4"/>
  <c r="C39" i="1" s="1"/>
  <c r="I39" i="1" l="1"/>
  <c r="I19" i="4"/>
  <c r="A40" i="1" s="1"/>
  <c r="H40" i="1" s="1"/>
  <c r="L19" i="4"/>
  <c r="F40" i="1" s="1"/>
  <c r="J19" i="4"/>
  <c r="B40" i="1" s="1"/>
  <c r="K19" i="4"/>
  <c r="C40" i="1" s="1"/>
  <c r="M19" i="4"/>
  <c r="G40" i="1" s="1"/>
  <c r="I40" i="1" l="1"/>
  <c r="L20" i="4"/>
  <c r="F41" i="1" s="1"/>
  <c r="I20" i="4"/>
  <c r="A41" i="1" s="1"/>
  <c r="H41" i="1" s="1"/>
  <c r="M20" i="4"/>
  <c r="G41" i="1" s="1"/>
  <c r="K20" i="4"/>
  <c r="C41" i="1" s="1"/>
  <c r="J20" i="4"/>
  <c r="B41" i="1" s="1"/>
  <c r="I41" i="1" l="1"/>
  <c r="B16" i="5" l="1"/>
  <c r="B14" i="5" l="1"/>
  <c r="H42" i="1" l="1"/>
  <c r="G34" i="5"/>
  <c r="H43" i="1" l="1" a="1"/>
  <c r="H43" i="1" s="1"/>
  <c r="H9" i="1" s="1" a="1"/>
  <c r="H9" i="1" s="1"/>
  <c r="I72" i="1" s="1" a="1"/>
  <c r="I72" i="1" s="1"/>
  <c r="B12" i="5"/>
  <c r="I9" i="1" l="1"/>
  <c r="I4" i="1"/>
  <c r="I5" i="1"/>
  <c r="H8" i="1" a="1"/>
  <c r="H8" i="1" s="1"/>
  <c r="B11" i="5"/>
  <c r="B214" i="4" a="1"/>
  <c r="B214" i="4" s="1"/>
  <c r="I61" i="1" s="1"/>
  <c r="B201" i="4" a="1"/>
  <c r="B201" i="4" s="1"/>
  <c r="I48" i="1" s="1"/>
  <c r="B208" i="4" a="1"/>
  <c r="B208" i="4" s="1"/>
  <c r="I55" i="1" s="1"/>
  <c r="B18" i="5" a="1"/>
  <c r="B18" i="5" s="1"/>
  <c r="B30" i="5" s="1"/>
  <c r="B217" i="4" a="1"/>
  <c r="B217" i="4" s="1"/>
  <c r="I64" i="1" s="1"/>
  <c r="B205" i="4" a="1"/>
  <c r="B205" i="4" s="1"/>
  <c r="I52" i="1" s="1"/>
  <c r="B222" i="4" a="1"/>
  <c r="B222" i="4" s="1"/>
  <c r="I69" i="1" s="1"/>
  <c r="B210" i="4" a="1"/>
  <c r="B210" i="4" s="1"/>
  <c r="I57" i="1" s="1"/>
  <c r="B203" i="4" a="1"/>
  <c r="B203" i="4" s="1"/>
  <c r="I50" i="1" s="1"/>
  <c r="B212" i="4" a="1"/>
  <c r="B212" i="4" s="1"/>
  <c r="I59" i="1" s="1"/>
  <c r="B211" i="4" a="1"/>
  <c r="B211" i="4" s="1"/>
  <c r="I58" i="1" s="1"/>
  <c r="B224" i="4" a="1"/>
  <c r="B224" i="4" s="1"/>
  <c r="I71" i="1" s="1"/>
  <c r="B218" i="4" a="1"/>
  <c r="B218" i="4" s="1"/>
  <c r="I65" i="1" s="1"/>
  <c r="B209" i="4" a="1"/>
  <c r="B209" i="4" s="1"/>
  <c r="I56" i="1" s="1"/>
  <c r="B223" i="4" a="1"/>
  <c r="B223" i="4" s="1"/>
  <c r="I70" i="1" s="1"/>
  <c r="B220" i="4" a="1"/>
  <c r="B220" i="4" s="1"/>
  <c r="I67" i="1" s="1"/>
  <c r="B219" i="4" a="1"/>
  <c r="B219" i="4" s="1"/>
  <c r="I66" i="1" s="1"/>
  <c r="B204" i="4" a="1"/>
  <c r="B204" i="4" s="1"/>
  <c r="I51" i="1" s="1"/>
  <c r="B207" i="4" a="1"/>
  <c r="B207" i="4" s="1"/>
  <c r="I54" i="1" s="1"/>
  <c r="B206" i="4" a="1"/>
  <c r="B206" i="4" s="1"/>
  <c r="I53" i="1" s="1"/>
  <c r="B221" i="4" a="1"/>
  <c r="B221" i="4" s="1"/>
  <c r="I68" i="1" s="1"/>
  <c r="B200" i="4" a="1"/>
  <c r="B200" i="4" s="1"/>
  <c r="I47" i="1" s="1"/>
  <c r="B213" i="4" a="1"/>
  <c r="B213" i="4" s="1"/>
  <c r="I60" i="1" s="1"/>
  <c r="B216" i="4" a="1"/>
  <c r="B216" i="4" s="1"/>
  <c r="I63" i="1" s="1"/>
  <c r="B215" i="4" a="1"/>
  <c r="B215" i="4" s="1"/>
  <c r="I62" i="1" s="1"/>
  <c r="B202" i="4" a="1"/>
  <c r="B202" i="4" s="1"/>
  <c r="I49" i="1" s="1"/>
  <c r="D243" i="4" l="1" a="1"/>
  <c r="D243" i="4" s="1"/>
  <c r="B120" i="4" a="1"/>
  <c r="B120" i="4" s="1"/>
  <c r="B171" i="4" a="1"/>
  <c r="B171" i="4" s="1"/>
  <c r="B157" i="4" a="1"/>
  <c r="B157" i="4" s="1"/>
  <c r="B126" i="4" a="1"/>
  <c r="B126" i="4" s="1"/>
  <c r="B113" i="4" a="1"/>
  <c r="B113" i="4" s="1"/>
  <c r="D233" i="4" a="1"/>
  <c r="D233" i="4" s="1"/>
  <c r="B124" i="4" a="1"/>
  <c r="B124" i="4" s="1"/>
  <c r="B97" i="4" a="1"/>
  <c r="B97" i="4" s="1"/>
  <c r="B95" i="4" a="1"/>
  <c r="B95" i="4" s="1"/>
  <c r="B132" i="4" a="1"/>
  <c r="B132" i="4" s="1"/>
  <c r="B149" i="4" a="1"/>
  <c r="B149" i="4" s="1"/>
  <c r="B168" i="4" a="1"/>
  <c r="B168" i="4" s="1"/>
  <c r="B167" i="4" a="1"/>
  <c r="B167" i="4" s="1"/>
  <c r="D238" i="4" a="1"/>
  <c r="D238" i="4" s="1"/>
  <c r="B31" i="5"/>
  <c r="B142" i="4" a="1"/>
  <c r="B142" i="4" s="1"/>
  <c r="B146" i="4" a="1"/>
  <c r="B146" i="4" s="1"/>
  <c r="B104" i="4" a="1"/>
  <c r="B104" i="4" s="1"/>
  <c r="B93" i="4" a="1"/>
  <c r="B93" i="4" s="1"/>
  <c r="B131" i="4" a="1"/>
  <c r="B131" i="4" s="1"/>
  <c r="B116" i="4" a="1"/>
  <c r="B116" i="4" s="1"/>
  <c r="B98" i="4" a="1"/>
  <c r="B98" i="4" s="1"/>
  <c r="B118" i="4" a="1"/>
  <c r="B118" i="4" s="1"/>
  <c r="B114" i="4" a="1"/>
  <c r="B114" i="4" s="1"/>
  <c r="B102" i="4" a="1"/>
  <c r="B102" i="4" s="1"/>
  <c r="D237" i="4" a="1"/>
  <c r="D237" i="4" s="1"/>
  <c r="D230" i="4" a="1"/>
  <c r="D230" i="4" s="1"/>
  <c r="B101" i="4" a="1"/>
  <c r="B101" i="4" s="1"/>
  <c r="B172" i="4" a="1"/>
  <c r="B172" i="4" s="1"/>
  <c r="B121" i="4" a="1"/>
  <c r="B121" i="4" s="1"/>
  <c r="B112" i="4" a="1"/>
  <c r="B112" i="4" s="1"/>
  <c r="B139" i="4" a="1"/>
  <c r="B139" i="4" s="1"/>
  <c r="B173" i="4" a="1"/>
  <c r="B173" i="4" s="1"/>
  <c r="B137" i="4" a="1"/>
  <c r="B137" i="4" s="1"/>
  <c r="B109" i="4" a="1"/>
  <c r="B109" i="4" s="1"/>
  <c r="B160" i="4" a="1"/>
  <c r="B160" i="4" s="1"/>
  <c r="B134" i="4" a="1"/>
  <c r="B134" i="4" s="1"/>
  <c r="B100" i="4" a="1"/>
  <c r="B100" i="4" s="1"/>
  <c r="B115" i="4" a="1"/>
  <c r="B115" i="4" s="1"/>
  <c r="D240" i="4" a="1"/>
  <c r="D240" i="4" s="1"/>
  <c r="B136" i="4" a="1"/>
  <c r="B136" i="4" s="1"/>
  <c r="B89" i="4" a="1"/>
  <c r="B89" i="4" s="1"/>
  <c r="B182" i="4" a="1"/>
  <c r="B182" i="4" s="1"/>
  <c r="B177" i="4" a="1"/>
  <c r="B177" i="4" s="1"/>
  <c r="B130" i="4" a="1"/>
  <c r="B130" i="4" s="1"/>
  <c r="B181" i="4" a="1"/>
  <c r="B181" i="4" s="1"/>
  <c r="B122" i="4" a="1"/>
  <c r="B122" i="4" s="1"/>
  <c r="B94" i="4" a="1"/>
  <c r="B94" i="4" s="1"/>
  <c r="B170" i="4" a="1"/>
  <c r="B170" i="4" s="1"/>
  <c r="B183" i="4" a="1"/>
  <c r="B183" i="4" s="1"/>
  <c r="B87" i="4" a="1"/>
  <c r="B87" i="4" s="1"/>
  <c r="B163" i="4" a="1"/>
  <c r="B163" i="4" s="1"/>
  <c r="B123" i="4" a="1"/>
  <c r="B123" i="4" s="1"/>
  <c r="D234" i="4" a="1"/>
  <c r="D234" i="4" s="1"/>
  <c r="D236" i="4" a="1"/>
  <c r="D236" i="4" s="1"/>
  <c r="B169" i="4" a="1"/>
  <c r="B169" i="4" s="1"/>
  <c r="B176" i="4" a="1"/>
  <c r="B176" i="4" s="1"/>
  <c r="B88" i="4" a="1"/>
  <c r="B88" i="4" s="1"/>
  <c r="B175" i="4" a="1"/>
  <c r="B175" i="4" s="1"/>
  <c r="B135" i="4" a="1"/>
  <c r="B135" i="4" s="1"/>
  <c r="B148" i="4" a="1"/>
  <c r="B148" i="4" s="1"/>
  <c r="B119" i="4" a="1"/>
  <c r="B119" i="4" s="1"/>
  <c r="B133" i="4" a="1"/>
  <c r="B133" i="4" s="1"/>
  <c r="B153" i="4" a="1"/>
  <c r="B153" i="4" s="1"/>
  <c r="B156" i="4" a="1"/>
  <c r="B156" i="4" s="1"/>
  <c r="B85" i="4" a="1"/>
  <c r="B85" i="4" s="1"/>
  <c r="B91" i="4" a="1"/>
  <c r="B91" i="4" s="1"/>
  <c r="B164" i="4" a="1"/>
  <c r="B164" i="4" s="1"/>
  <c r="B162" i="4" a="1"/>
  <c r="B162" i="4" s="1"/>
  <c r="B140" i="4" a="1"/>
  <c r="B140" i="4" s="1"/>
  <c r="B165" i="4" a="1"/>
  <c r="B165" i="4" s="1"/>
  <c r="B138" i="4" a="1"/>
  <c r="B138" i="4" s="1"/>
  <c r="B127" i="4" a="1"/>
  <c r="B127" i="4" s="1"/>
  <c r="B159" i="4" a="1"/>
  <c r="B159" i="4" s="1"/>
  <c r="B117" i="4" a="1"/>
  <c r="B117" i="4" s="1"/>
  <c r="B22" i="5"/>
  <c r="B28" i="5" s="1"/>
  <c r="B129" i="4" a="1"/>
  <c r="B129" i="4" s="1"/>
  <c r="B96" i="4" a="1"/>
  <c r="B96" i="4" s="1"/>
  <c r="B90" i="4" a="1"/>
  <c r="B90" i="4" s="1"/>
  <c r="B180" i="4" a="1"/>
  <c r="B180" i="4" s="1"/>
  <c r="B184" i="4" a="1"/>
  <c r="B184" i="4" s="1"/>
  <c r="B144" i="4" a="1"/>
  <c r="B144" i="4" s="1"/>
  <c r="B86" i="4" a="1"/>
  <c r="B86" i="4" s="1"/>
  <c r="B178" i="4" a="1"/>
  <c r="B178" i="4" s="1"/>
  <c r="B105" i="4" a="1"/>
  <c r="B105" i="4" s="1"/>
  <c r="B155" i="4" a="1"/>
  <c r="B155" i="4" s="1"/>
  <c r="D232" i="4" a="1"/>
  <c r="D232" i="4" s="1"/>
  <c r="D229" i="4" a="1"/>
  <c r="D229" i="4" s="1"/>
  <c r="B103" i="4" a="1"/>
  <c r="B103" i="4" s="1"/>
  <c r="B161" i="4" a="1"/>
  <c r="B161" i="4" s="1"/>
  <c r="B128" i="4" a="1"/>
  <c r="B128" i="4" s="1"/>
  <c r="B151" i="4" a="1"/>
  <c r="B151" i="4" s="1"/>
  <c r="B108" i="4" a="1"/>
  <c r="B108" i="4" s="1"/>
  <c r="D239" i="4" a="1"/>
  <c r="D239" i="4" s="1"/>
  <c r="D235" i="4" a="1"/>
  <c r="D235" i="4" s="1"/>
  <c r="B166" i="4" a="1"/>
  <c r="B166" i="4" s="1"/>
  <c r="B143" i="4" a="1"/>
  <c r="B143" i="4" s="1"/>
  <c r="B150" i="4" a="1"/>
  <c r="B150" i="4" s="1"/>
  <c r="B106" i="4" a="1"/>
  <c r="B106" i="4" s="1"/>
  <c r="B125" i="4" a="1"/>
  <c r="B125" i="4" s="1"/>
  <c r="B152" i="4" a="1"/>
  <c r="B152" i="4" s="1"/>
  <c r="B111" i="4" a="1"/>
  <c r="B111" i="4" s="1"/>
  <c r="C22" i="5"/>
  <c r="C28" i="5" s="1"/>
  <c r="B99" i="4" a="1"/>
  <c r="B99" i="4" s="1"/>
  <c r="B154" i="4" a="1"/>
  <c r="B154" i="4" s="1"/>
  <c r="B174" i="4" a="1"/>
  <c r="B174" i="4" s="1"/>
  <c r="B92" i="4" a="1"/>
  <c r="B92" i="4" s="1"/>
  <c r="B107" i="4" a="1"/>
  <c r="B107" i="4" s="1"/>
  <c r="B141" i="4" a="1"/>
  <c r="B141" i="4" s="1"/>
  <c r="D242" i="4" a="1"/>
  <c r="D242" i="4" s="1"/>
  <c r="B158" i="4" a="1"/>
  <c r="B158" i="4" s="1"/>
  <c r="B179" i="4" a="1"/>
  <c r="B179" i="4" s="1"/>
  <c r="D241" i="4" a="1"/>
  <c r="D241" i="4" s="1"/>
  <c r="B147" i="4" a="1"/>
  <c r="B147" i="4" s="1"/>
  <c r="B110" i="4" a="1"/>
  <c r="B110" i="4" s="1"/>
  <c r="B145" i="4" a="1"/>
  <c r="B145" i="4" s="1"/>
  <c r="D231" i="4" a="1"/>
  <c r="D231" i="4" s="1"/>
  <c r="B77" i="4" l="1" a="1"/>
  <c r="B77" i="4" s="1"/>
  <c r="I24" i="1" s="1"/>
  <c r="B71" i="4" a="1"/>
  <c r="B71" i="4" s="1"/>
  <c r="I18" i="1" s="1"/>
  <c r="B73" i="4" a="1"/>
  <c r="B73" i="4" s="1"/>
  <c r="I20" i="1" s="1"/>
  <c r="B78" i="4" a="1"/>
  <c r="B78" i="4" s="1"/>
  <c r="I25" i="1" s="1"/>
  <c r="B79" i="4" a="1"/>
  <c r="B79" i="4" s="1"/>
  <c r="I26" i="1" s="1"/>
  <c r="B72" i="4" a="1"/>
  <c r="B72" i="4" s="1"/>
  <c r="I19" i="1" s="1"/>
  <c r="B76" i="4" a="1"/>
  <c r="B76" i="4" s="1"/>
  <c r="I23" i="1" s="1"/>
  <c r="B80" i="4" a="1"/>
  <c r="B80" i="4" s="1"/>
  <c r="I27" i="1" s="1"/>
  <c r="B74" i="4" a="1"/>
  <c r="B74" i="4" s="1"/>
  <c r="I21" i="1" s="1"/>
  <c r="B75" i="4" a="1"/>
  <c r="B75" i="4" s="1"/>
  <c r="I22" i="1" s="1"/>
  <c r="B243" i="4" a="1"/>
  <c r="B243" i="4" s="1"/>
  <c r="I111" i="1" s="1"/>
  <c r="B240" i="4" a="1"/>
  <c r="B240" i="4" s="1"/>
  <c r="I108" i="1" s="1"/>
  <c r="B233" i="4" a="1"/>
  <c r="B233" i="4" s="1"/>
  <c r="I101" i="1" s="1"/>
  <c r="B236" i="4" a="1"/>
  <c r="B236" i="4" s="1"/>
  <c r="I104" i="1" s="1"/>
  <c r="B234" i="4" a="1"/>
  <c r="B234" i="4" s="1"/>
  <c r="I102" i="1" s="1"/>
  <c r="B231" i="4" a="1"/>
  <c r="B231" i="4" s="1"/>
  <c r="I99" i="1" s="1"/>
  <c r="B235" i="4" a="1"/>
  <c r="B235" i="4" s="1"/>
  <c r="I103" i="1" s="1"/>
  <c r="B230" i="4" a="1"/>
  <c r="B230" i="4" s="1"/>
  <c r="I98" i="1" s="1"/>
  <c r="B32" i="5"/>
  <c r="B237" i="4" a="1"/>
  <c r="B237" i="4" s="1"/>
  <c r="I105" i="1" s="1"/>
  <c r="B239" i="4" a="1"/>
  <c r="B239" i="4" s="1"/>
  <c r="I107" i="1" s="1"/>
  <c r="B242" i="4" a="1"/>
  <c r="B242" i="4" s="1"/>
  <c r="I110" i="1" s="1"/>
  <c r="B229" i="4" a="1"/>
  <c r="B229" i="4" s="1"/>
  <c r="I97" i="1" s="1"/>
  <c r="B232" i="4" a="1"/>
  <c r="B232" i="4" s="1"/>
  <c r="I100" i="1" s="1"/>
  <c r="B241" i="4" a="1"/>
  <c r="B241" i="4" s="1"/>
  <c r="I109" i="1" s="1"/>
  <c r="B238" i="4" a="1"/>
  <c r="B238" i="4" s="1"/>
  <c r="I106" i="1" s="1"/>
  <c r="B288" i="4"/>
  <c r="A288" i="4" s="1"/>
  <c r="I155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<sst xmlns="http://schemas.openxmlformats.org/spreadsheetml/2006/main" count="1118" uniqueCount="766">
  <si>
    <t>Project title:</t>
  </si>
  <si>
    <t>File number:</t>
  </si>
  <si>
    <t>Summary</t>
  </si>
  <si>
    <t>Totals</t>
  </si>
  <si>
    <t>Total co-funding</t>
  </si>
  <si>
    <t>Personnel costs</t>
  </si>
  <si>
    <t>Total personnel costs:</t>
  </si>
  <si>
    <t>Sub total:</t>
  </si>
  <si>
    <t>Material costs</t>
  </si>
  <si>
    <t>Description</t>
  </si>
  <si>
    <t>Amount</t>
  </si>
  <si>
    <t>Investments</t>
  </si>
  <si>
    <t>Total material costs:</t>
  </si>
  <si>
    <t>Knowledge utilisation</t>
  </si>
  <si>
    <t>Co-funding</t>
  </si>
  <si>
    <t>University</t>
  </si>
  <si>
    <t>NCB Naturalis</t>
  </si>
  <si>
    <t>Other</t>
  </si>
  <si>
    <t>TO2 institute</t>
  </si>
  <si>
    <t>Netherlands Cancer Institute</t>
  </si>
  <si>
    <t>Prinses Máxima Center for pediatric oncology</t>
  </si>
  <si>
    <t>UMC</t>
  </si>
  <si>
    <t>ARCNL</t>
  </si>
  <si>
    <t>Max Planck Institute for Psycholinguistics</t>
  </si>
  <si>
    <t>Business micro</t>
  </si>
  <si>
    <t>Business large</t>
  </si>
  <si>
    <t>Citizen initiative</t>
  </si>
  <si>
    <t>NGO</t>
  </si>
  <si>
    <t>Foundation</t>
  </si>
  <si>
    <t>Association</t>
  </si>
  <si>
    <r>
      <t>Benchfee</t>
    </r>
    <r>
      <rPr>
        <sz val="10"/>
        <color theme="1"/>
        <rFont val="Calibri"/>
        <family val="2"/>
        <scheme val="minor"/>
      </rPr>
      <t xml:space="preserve"> (for PhD en Postdoc)</t>
    </r>
  </si>
  <si>
    <t>Category</t>
  </si>
  <si>
    <t>FTE</t>
  </si>
  <si>
    <t>Months</t>
  </si>
  <si>
    <t>Personnel academic institutes</t>
  </si>
  <si>
    <t>Total co-funding:</t>
  </si>
  <si>
    <t>Project management</t>
  </si>
  <si>
    <t>KNAW institute</t>
  </si>
  <si>
    <t>NWO institute</t>
  </si>
  <si>
    <t>Organisation type</t>
  </si>
  <si>
    <t>University of applied sciences</t>
  </si>
  <si>
    <t>RKI (governmental knowledge institute)</t>
  </si>
  <si>
    <t>Public knowledge institute</t>
  </si>
  <si>
    <t>Private knowledge institute</t>
  </si>
  <si>
    <t>Healthcare organisation</t>
  </si>
  <si>
    <t>Business SME</t>
  </si>
  <si>
    <t>Governmental organisation</t>
  </si>
  <si>
    <t>In-kind co-funding</t>
  </si>
  <si>
    <t>In-cash co-funding</t>
  </si>
  <si>
    <t>Costs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</si>
  <si>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</si>
  <si>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</si>
  <si>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</si>
  <si>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</si>
  <si>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</si>
  <si>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</si>
  <si>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</si>
  <si>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</si>
  <si>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</si>
  <si>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</si>
  <si>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</si>
  <si>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</si>
  <si>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</si>
  <si>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</si>
  <si>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</si>
  <si>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</si>
  <si>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</si>
  <si>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</si>
  <si>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</si>
  <si>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</si>
  <si>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</si>
  <si>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</si>
  <si>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</si>
  <si>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</si>
  <si>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</si>
  <si>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</si>
  <si>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</si>
  <si>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</si>
  <si>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</si>
  <si>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</si>
  <si>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</si>
  <si>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</si>
  <si>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</si>
  <si>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</si>
  <si>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</si>
  <si>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</si>
  <si>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</si>
  <si>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</si>
  <si>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</si>
  <si>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</si>
  <si>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</si>
  <si>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</si>
  <si>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</si>
  <si>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</si>
  <si>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</si>
  <si>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</si>
  <si>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</si>
  <si>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</si>
  <si>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</si>
  <si>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</si>
  <si>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</si>
  <si>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</si>
  <si>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</si>
  <si>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</si>
  <si>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</si>
  <si>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</si>
  <si>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</si>
  <si>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</si>
  <si>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</si>
  <si>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</si>
  <si>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</si>
  <si>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</si>
  <si>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</si>
  <si>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</si>
  <si>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</si>
  <si>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</si>
  <si>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</si>
  <si>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</si>
  <si>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</si>
  <si>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</si>
  <si>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</si>
  <si>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</si>
  <si>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</si>
  <si>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</si>
  <si>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</si>
  <si>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</si>
  <si>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</si>
  <si>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</si>
  <si>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</si>
  <si>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</si>
  <si>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</si>
  <si>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</si>
  <si>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</si>
  <si>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</si>
  <si>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</si>
  <si>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</si>
  <si>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</si>
  <si>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</si>
  <si>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</si>
  <si>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</si>
  <si>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</si>
  <si>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</si>
  <si>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</si>
  <si>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</si>
  <si>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</si>
  <si>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</si>
  <si>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category</t>
  </si>
  <si>
    <t>Total NWO funding</t>
  </si>
  <si>
    <t>Max NWO funding</t>
  </si>
  <si>
    <t>Benchfee amount</t>
  </si>
  <si>
    <t># Benchfee</t>
  </si>
  <si>
    <t xml:space="preserve"> </t>
  </si>
  <si>
    <t xml:space="preserve">  </t>
  </si>
  <si>
    <t xml:space="preserve">   </t>
  </si>
  <si>
    <t>Country</t>
  </si>
  <si>
    <t>General parameters</t>
  </si>
  <si>
    <t>Lists</t>
  </si>
  <si>
    <t>Max project duration [months]</t>
  </si>
  <si>
    <t>File originally created:</t>
  </si>
  <si>
    <t>Personnel</t>
  </si>
  <si>
    <t>date NFU rates</t>
  </si>
  <si>
    <t>date HOT rates</t>
  </si>
  <si>
    <t>Own contribution applicable?</t>
  </si>
  <si>
    <t>Maximum amount without own contribution</t>
  </si>
  <si>
    <t>Min % own contribution above threshold amount</t>
  </si>
  <si>
    <t>Min total amount investments</t>
  </si>
  <si>
    <t>Max total amount investments</t>
  </si>
  <si>
    <t>Row in table</t>
  </si>
  <si>
    <t>Total:</t>
  </si>
  <si>
    <t>Salary table personnel other institutes</t>
  </si>
  <si>
    <t>Max hourly rate</t>
  </si>
  <si>
    <t>instruction</t>
  </si>
  <si>
    <t>Totals:</t>
  </si>
  <si>
    <t>Materials</t>
  </si>
  <si>
    <t>Type HOT rates</t>
  </si>
  <si>
    <t>Cost Plus</t>
  </si>
  <si>
    <t>Max amount, % of NWO contribution</t>
  </si>
  <si>
    <t>Min % co-funding, of total project budget</t>
  </si>
  <si>
    <t>Max % co-funding, of total project budget</t>
  </si>
  <si>
    <t>Min % in-cash co-funding, of total project budget</t>
  </si>
  <si>
    <t>Invoicing via NWO/knowledge institute</t>
  </si>
  <si>
    <t>Total in-cash co-funding</t>
  </si>
  <si>
    <t>Total in-kind co-funding</t>
  </si>
  <si>
    <t>Country Correction Coefficients</t>
  </si>
  <si>
    <t>https://www.nwo.nl/documents/nwo/beleid/money-follows-cooperation/nwo-country-correction-coefficients-ccc</t>
  </si>
  <si>
    <t>https://www.iso.org/iso-3166-country-codes.html</t>
  </si>
  <si>
    <t>Code</t>
  </si>
  <si>
    <t>Code and Country</t>
  </si>
  <si>
    <t>CC</t>
  </si>
  <si>
    <t>Categorie</t>
  </si>
  <si>
    <t>AL</t>
  </si>
  <si>
    <t>Albania</t>
  </si>
  <si>
    <t>Other Horizon 2020</t>
  </si>
  <si>
    <t>DZ</t>
  </si>
  <si>
    <t>Algeria</t>
  </si>
  <si>
    <t>Third countries</t>
  </si>
  <si>
    <t>AO</t>
  </si>
  <si>
    <t>Angola</t>
  </si>
  <si>
    <t>AR</t>
  </si>
  <si>
    <t>Argentina</t>
  </si>
  <si>
    <t>AM</t>
  </si>
  <si>
    <t>Armenia</t>
  </si>
  <si>
    <t>AU</t>
  </si>
  <si>
    <t>Australia</t>
  </si>
  <si>
    <t>AT</t>
  </si>
  <si>
    <t>Austria</t>
  </si>
  <si>
    <t>EU member states</t>
  </si>
  <si>
    <t>AZ</t>
  </si>
  <si>
    <t>Azerbaijan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</si>
  <si>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</si>
  <si>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</si>
  <si>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</si>
  <si>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</si>
  <si>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</si>
  <si>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</si>
  <si>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</si>
  <si>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</si>
  <si>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</si>
  <si>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</si>
  <si>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</si>
  <si>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</si>
  <si>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</si>
  <si>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</si>
  <si>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BO</t>
  </si>
  <si>
    <t>Bolivia (Plurinational State of)</t>
  </si>
  <si>
    <t>BA</t>
  </si>
  <si>
    <t>Bosnia and Herzegovina</t>
  </si>
  <si>
    <t>BW</t>
  </si>
  <si>
    <t>Botswana</t>
  </si>
  <si>
    <t>BR</t>
  </si>
  <si>
    <t>Brazil</t>
  </si>
  <si>
    <t>BG</t>
  </si>
  <si>
    <t>Bulgaria</t>
  </si>
  <si>
    <t>BF</t>
  </si>
  <si>
    <t>Burkina Faso</t>
  </si>
  <si>
    <t>BI</t>
  </si>
  <si>
    <t>Burundi</t>
  </si>
  <si>
    <t>CV</t>
  </si>
  <si>
    <t>Cabo Verde</t>
  </si>
  <si>
    <t>KH</t>
  </si>
  <si>
    <t>Cambodia</t>
  </si>
  <si>
    <t>CM</t>
  </si>
  <si>
    <t>Cameroon</t>
  </si>
  <si>
    <t>CA</t>
  </si>
  <si>
    <t>Canada</t>
  </si>
  <si>
    <t>CF</t>
  </si>
  <si>
    <t>Central African Republic (the)</t>
  </si>
  <si>
    <t>TD</t>
  </si>
  <si>
    <t>Chad</t>
  </si>
  <si>
    <t>CL</t>
  </si>
  <si>
    <t>Chile</t>
  </si>
  <si>
    <t>CN</t>
  </si>
  <si>
    <t>China</t>
  </si>
  <si>
    <t>CO</t>
  </si>
  <si>
    <t>Colombia</t>
  </si>
  <si>
    <t>KM</t>
  </si>
  <si>
    <t>Comoros (the)</t>
  </si>
  <si>
    <t>CD</t>
  </si>
  <si>
    <t>Congo (the Democratic Republic of the)</t>
  </si>
  <si>
    <t>CG</t>
  </si>
  <si>
    <t>Congo (the)</t>
  </si>
  <si>
    <t>CR</t>
  </si>
  <si>
    <t>Costa Rica</t>
  </si>
  <si>
    <t>CI</t>
  </si>
  <si>
    <t>Côte d'Ivoire</t>
  </si>
  <si>
    <t>HR</t>
  </si>
  <si>
    <t>Croatia</t>
  </si>
  <si>
    <t>CU</t>
  </si>
  <si>
    <t>Cuba</t>
  </si>
  <si>
    <t>CY</t>
  </si>
  <si>
    <t>Cyprus</t>
  </si>
  <si>
    <t>CZ</t>
  </si>
  <si>
    <t>Czechia</t>
  </si>
  <si>
    <t>DK</t>
  </si>
  <si>
    <t>Denmark</t>
  </si>
  <si>
    <t>DJ</t>
  </si>
  <si>
    <t>Djibouti</t>
  </si>
  <si>
    <t>DO</t>
  </si>
  <si>
    <t>Dominican Republic (the)</t>
  </si>
  <si>
    <t>EC</t>
  </si>
  <si>
    <t>Ecuador</t>
  </si>
  <si>
    <t>EG</t>
  </si>
  <si>
    <t>Egypt</t>
  </si>
  <si>
    <t>SV</t>
  </si>
  <si>
    <t>El Salvador</t>
  </si>
  <si>
    <t>ER</t>
  </si>
  <si>
    <t>Eritrea</t>
  </si>
  <si>
    <t>EE</t>
  </si>
  <si>
    <t>Estonia</t>
  </si>
  <si>
    <t>SZ</t>
  </si>
  <si>
    <t>Eswatini</t>
  </si>
  <si>
    <t>ET</t>
  </si>
  <si>
    <t>Ethiopia</t>
  </si>
  <si>
    <t>FO</t>
  </si>
  <si>
    <t>Faroe Islands (the)</t>
  </si>
  <si>
    <t>FJ</t>
  </si>
  <si>
    <t>Fiji</t>
  </si>
  <si>
    <t>FI</t>
  </si>
  <si>
    <t>Finland</t>
  </si>
  <si>
    <t>FR</t>
  </si>
  <si>
    <t>France</t>
  </si>
  <si>
    <t>GA</t>
  </si>
  <si>
    <t>Gabon</t>
  </si>
  <si>
    <t>GM</t>
  </si>
  <si>
    <t>Gambia (the)</t>
  </si>
  <si>
    <t>GE</t>
  </si>
  <si>
    <t>Georgia</t>
  </si>
  <si>
    <t>DE</t>
  </si>
  <si>
    <t>Germany</t>
  </si>
  <si>
    <t>GH</t>
  </si>
  <si>
    <t>Ghana</t>
  </si>
  <si>
    <t>GT</t>
  </si>
  <si>
    <t>Guatemala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</si>
  <si>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</si>
  <si>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</si>
  <si>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</si>
  <si>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</si>
  <si>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</si>
  <si>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</si>
  <si>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</si>
  <si>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</si>
  <si>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</si>
  <si>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</si>
  <si>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</si>
  <si>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</si>
  <si>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</si>
  <si>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</si>
  <si>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</si>
  <si>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</si>
  <si>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</si>
  <si>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</si>
  <si>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</si>
  <si>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</si>
  <si>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IE</t>
  </si>
  <si>
    <t>Ireland</t>
  </si>
  <si>
    <t>IL</t>
  </si>
  <si>
    <t>Israel</t>
  </si>
  <si>
    <t>IT</t>
  </si>
  <si>
    <t>Italy</t>
  </si>
  <si>
    <t>JM</t>
  </si>
  <si>
    <t>Jamaica</t>
  </si>
  <si>
    <t>JP</t>
  </si>
  <si>
    <t>Japan</t>
  </si>
  <si>
    <t>JO</t>
  </si>
  <si>
    <t>Jordan</t>
  </si>
  <si>
    <t>KZ</t>
  </si>
  <si>
    <t>Kazakhstan</t>
  </si>
  <si>
    <t>KE</t>
  </si>
  <si>
    <t>Kenya</t>
  </si>
  <si>
    <t>KR</t>
  </si>
  <si>
    <t>Korea (the Republic of)</t>
  </si>
  <si>
    <t>KG</t>
  </si>
  <si>
    <t>Kyrgyzstan</t>
  </si>
  <si>
    <t>LA</t>
  </si>
  <si>
    <t>Lao People's Democratic Republic (the)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</si>
  <si>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</si>
  <si>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</si>
  <si>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</si>
  <si>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</si>
  <si>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</si>
  <si>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</si>
  <si>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</si>
  <si>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</si>
  <si>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</si>
  <si>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</t>
  </si>
  <si>
    <t>LI</t>
  </si>
  <si>
    <t>Liechtenstein</t>
  </si>
  <si>
    <t>LT</t>
  </si>
  <si>
    <t>Lithuania</t>
  </si>
  <si>
    <t>LU</t>
  </si>
  <si>
    <t>Luxembourg</t>
  </si>
  <si>
    <t>MG</t>
  </si>
  <si>
    <t>Madagascar</t>
  </si>
  <si>
    <t>MW</t>
  </si>
  <si>
    <t>Malawi</t>
  </si>
  <si>
    <t>MY</t>
  </si>
  <si>
    <t>Malaysia</t>
  </si>
  <si>
    <t>ML</t>
  </si>
  <si>
    <t>Mali</t>
  </si>
  <si>
    <t>MT</t>
  </si>
  <si>
    <t>Malta</t>
  </si>
  <si>
    <t>MR</t>
  </si>
  <si>
    <t>Mauritania</t>
  </si>
  <si>
    <t>MU</t>
  </si>
  <si>
    <t>Mauritius</t>
  </si>
  <si>
    <t>MX</t>
  </si>
  <si>
    <t>Mexico</t>
  </si>
  <si>
    <t>MD</t>
  </si>
  <si>
    <t>Moldova (the Republic of)</t>
  </si>
  <si>
    <t>ME</t>
  </si>
  <si>
    <t>Montenegro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</si>
  <si>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</si>
  <si>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</si>
  <si>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</si>
  <si>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</si>
  <si>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</si>
  <si>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</si>
  <si>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</si>
  <si>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</si>
  <si>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NP</t>
  </si>
  <si>
    <t>Nepal</t>
  </si>
  <si>
    <t>NL</t>
  </si>
  <si>
    <t>Netherlands (the)</t>
  </si>
  <si>
    <t>NC</t>
  </si>
  <si>
    <t>New Caledonia</t>
  </si>
  <si>
    <t>NZ</t>
  </si>
  <si>
    <t>New Zealand</t>
  </si>
  <si>
    <t>NI</t>
  </si>
  <si>
    <t>Nicaragua</t>
  </si>
  <si>
    <t>NE</t>
  </si>
  <si>
    <t>Niger (the)</t>
  </si>
  <si>
    <t>NG</t>
  </si>
  <si>
    <t>Nigeria</t>
  </si>
  <si>
    <t>MK</t>
  </si>
  <si>
    <t>North Macedonia</t>
  </si>
  <si>
    <t>NO</t>
  </si>
  <si>
    <t>Norway</t>
  </si>
  <si>
    <t>PK</t>
  </si>
  <si>
    <t>Pakistan</t>
  </si>
  <si>
    <t>PS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</si>
  <si>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</si>
  <si>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</si>
  <si>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</si>
  <si>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</si>
  <si>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</si>
  <si>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</si>
  <si>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</si>
  <si>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</si>
  <si>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</si>
  <si>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 (the)</t>
  </si>
  <si>
    <t>PL</t>
  </si>
  <si>
    <t>Poland</t>
  </si>
  <si>
    <t>PT</t>
  </si>
  <si>
    <t>Portugal</t>
  </si>
  <si>
    <t>RO</t>
  </si>
  <si>
    <t>Romania</t>
  </si>
  <si>
    <t>RU</t>
  </si>
  <si>
    <t>Russian Federation (the)</t>
  </si>
  <si>
    <t>RW</t>
  </si>
  <si>
    <t>Rwanda</t>
  </si>
  <si>
    <t>WS</t>
  </si>
  <si>
    <t>Samoa</t>
  </si>
  <si>
    <t>SA</t>
  </si>
  <si>
    <t>Saudi Arabia</t>
  </si>
  <si>
    <t>SN</t>
  </si>
  <si>
    <t>Senegal</t>
  </si>
  <si>
    <t>RS</t>
  </si>
  <si>
    <t>Serbia</t>
  </si>
  <si>
    <t>SL</t>
  </si>
  <si>
    <t>Sierra Leone</t>
  </si>
  <si>
    <t>SG</t>
  </si>
  <si>
    <t>Singapore</t>
  </si>
  <si>
    <t>SK</t>
  </si>
  <si>
    <t>Slovakia</t>
  </si>
  <si>
    <t>SI</t>
  </si>
  <si>
    <t>Slovenia</t>
  </si>
  <si>
    <t>SB</t>
  </si>
  <si>
    <t>Solomon Islands</t>
  </si>
  <si>
    <t>ZA</t>
  </si>
  <si>
    <t>South Africa</t>
  </si>
  <si>
    <t>ES</t>
  </si>
  <si>
    <t>Spain</t>
  </si>
  <si>
    <t>LK</t>
  </si>
  <si>
    <t>Sri Lanka</t>
  </si>
  <si>
    <t>SD</t>
  </si>
  <si>
    <t>Sudan (the)</t>
  </si>
  <si>
    <t>SR</t>
  </si>
  <si>
    <t>Suriname</t>
  </si>
  <si>
    <t>SE</t>
  </si>
  <si>
    <t>Sweden</t>
  </si>
  <si>
    <t>CH</t>
  </si>
  <si>
    <t>Switzerland</t>
  </si>
  <si>
    <t>SY</t>
  </si>
  <si>
    <t>Syrian Arab Republic (the)</t>
  </si>
  <si>
    <t>TW</t>
  </si>
  <si>
    <t>Taiwan (Province of China)</t>
  </si>
  <si>
    <t>TJ</t>
  </si>
  <si>
    <t>Tajikistan</t>
  </si>
  <si>
    <t>TZ</t>
  </si>
  <si>
    <t>Tanzania, the United Republic of</t>
  </si>
  <si>
    <t>TH</t>
  </si>
  <si>
    <t>Thailand</t>
  </si>
  <si>
    <t>TL</t>
  </si>
  <si>
    <t>Timor-Leste</t>
  </si>
  <si>
    <t>TG</t>
  </si>
  <si>
    <t>Togo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</si>
  <si>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</si>
  <si>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</si>
  <si>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</si>
  <si>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</si>
  <si>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</si>
  <si>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</si>
  <si>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</si>
  <si>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</si>
  <si>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</si>
  <si>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</si>
  <si>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UG</t>
  </si>
  <si>
    <t>Uganda</t>
  </si>
  <si>
    <t>UA</t>
  </si>
  <si>
    <t>Ukraine</t>
  </si>
  <si>
    <t>AE</t>
  </si>
  <si>
    <t>United Arab Emirates (the)</t>
  </si>
  <si>
    <t>UK</t>
  </si>
  <si>
    <t>United Kingdom of Great Britain and Northern Ireland (the)</t>
  </si>
  <si>
    <t>US</t>
  </si>
  <si>
    <t>United States of America (the)</t>
  </si>
  <si>
    <t>UY</t>
  </si>
  <si>
    <t>Uruguay</t>
  </si>
  <si>
    <t>UZ</t>
  </si>
  <si>
    <t>Uzbekistan</t>
  </si>
  <si>
    <t>VU</t>
  </si>
  <si>
    <t>Vanuatu</t>
  </si>
  <si>
    <t>VE</t>
  </si>
  <si>
    <t>Venezuela (Bolivarian Republic of)</t>
  </si>
  <si>
    <t>VN</t>
  </si>
  <si>
    <t>Viet Nam</t>
  </si>
  <si>
    <t>YE</t>
  </si>
  <si>
    <t>Yemen</t>
  </si>
  <si>
    <t>ZM</t>
  </si>
  <si>
    <t>Zambia</t>
  </si>
  <si>
    <t>ZW</t>
  </si>
  <si>
    <t>Zimbabwe</t>
  </si>
  <si>
    <t>EL</t>
  </si>
  <si>
    <t>XK</t>
  </si>
  <si>
    <t>Checks on input</t>
  </si>
  <si>
    <t>Situation</t>
  </si>
  <si>
    <t>Message</t>
  </si>
  <si>
    <t>Nr of months of academic personnel exceeding max project duration (or &gt;96 months).</t>
  </si>
  <si>
    <t>Number of months exceeds maximum.</t>
  </si>
  <si>
    <t>Exceeding nr months</t>
  </si>
  <si>
    <t>Row nr</t>
  </si>
  <si>
    <t>PD min duration</t>
  </si>
  <si>
    <t>PD max duration</t>
  </si>
  <si>
    <t>Combined notes</t>
  </si>
  <si>
    <t>Combined notes per position - academic</t>
  </si>
  <si>
    <t># hours/year for non-academic personnel</t>
  </si>
  <si>
    <t>Benchee - requested for non-specified category</t>
  </si>
  <si>
    <t>Cofunding - too much</t>
  </si>
  <si>
    <t>NFU:</t>
  </si>
  <si>
    <t>-Personnel other institutes</t>
  </si>
  <si>
    <t>Total Material</t>
  </si>
  <si>
    <t>Total project management</t>
  </si>
  <si>
    <t>Date:</t>
  </si>
  <si>
    <t>Checklist valid entries</t>
  </si>
  <si>
    <t>Start date later than end date</t>
  </si>
  <si>
    <t>Start date before end date.</t>
  </si>
  <si>
    <t>Start date before today</t>
  </si>
  <si>
    <t>Start date lies in the past.</t>
  </si>
  <si>
    <t>Threshold amount min. Cofunding</t>
  </si>
  <si>
    <t>Requested NWO budget too high</t>
  </si>
  <si>
    <t>Min NWO funding</t>
  </si>
  <si>
    <t>private?</t>
  </si>
  <si>
    <t>no</t>
  </si>
  <si>
    <t>Private co-funding - inkind</t>
  </si>
  <si>
    <t>list cofunders</t>
  </si>
  <si>
    <t>Private co-funding - incash</t>
  </si>
  <si>
    <t>Total priv. cof.:</t>
  </si>
  <si>
    <t>Min % of private co-funding, of total project budget</t>
  </si>
  <si>
    <t>Organisation</t>
  </si>
  <si>
    <t>Provide these amounts without VAT.</t>
  </si>
  <si>
    <t>Name call:</t>
  </si>
  <si>
    <t>Cash cofunding via:</t>
  </si>
  <si>
    <t>Expenses</t>
  </si>
  <si>
    <t>Budget post</t>
  </si>
  <si>
    <t>Total personnel</t>
  </si>
  <si>
    <t>-Personnel ac. institutes (incl benchfee)</t>
  </si>
  <si>
    <r>
      <t xml:space="preserve">Total Investments </t>
    </r>
    <r>
      <rPr>
        <b/>
        <i/>
        <sz val="10"/>
        <color theme="1"/>
        <rFont val="Calibri"/>
        <family val="2"/>
        <scheme val="minor"/>
      </rPr>
      <t>(incl by inst)</t>
    </r>
  </si>
  <si>
    <t>Total required resources</t>
  </si>
  <si>
    <t>Funding</t>
  </si>
  <si>
    <t>Via NWO</t>
  </si>
  <si>
    <t>Via institute</t>
  </si>
  <si>
    <t>NWO funding</t>
  </si>
  <si>
    <t>N/A</t>
  </si>
  <si>
    <t>In-kind cofunding</t>
  </si>
  <si>
    <t>Investments via institute</t>
  </si>
  <si>
    <t>In-cash cofunding</t>
  </si>
  <si>
    <t>Project fee</t>
  </si>
  <si>
    <t>-Total in-cash</t>
  </si>
  <si>
    <t>Total funding</t>
  </si>
  <si>
    <t>Total project budget</t>
  </si>
  <si>
    <t>Total requested NWO budget</t>
  </si>
  <si>
    <t>Total via NWO (for tranches)</t>
  </si>
  <si>
    <t>Cofunding per organisation type (excl TKI/PPS-allowance)</t>
  </si>
  <si>
    <t>Type of funding</t>
  </si>
  <si>
    <t>Organisation type applicable</t>
  </si>
  <si>
    <t>per individual budget post</t>
  </si>
  <si>
    <t>Research leave - max perc of NWO funding</t>
  </si>
  <si>
    <t>Min amount KU, % of NWO contribution</t>
  </si>
  <si>
    <t>Max amount KU, % of NWO contribution</t>
  </si>
  <si>
    <t>Hourly rate too high</t>
  </si>
  <si>
    <t>Min (equiv.) duration PhD [months]</t>
  </si>
  <si>
    <t>Min (equiv.) duration 3-year PhD [months]</t>
  </si>
  <si>
    <t>Max (equiv.) duration PD [months]</t>
  </si>
  <si>
    <t>Max (equiv.) duration PDEng [months]</t>
  </si>
  <si>
    <t>Costs specified</t>
  </si>
  <si>
    <t>Personnel ac - costs specified, but not relevant</t>
  </si>
  <si>
    <t>Costs are specified, but default rates apply.</t>
  </si>
  <si>
    <t>Minimal threshold NWO funding above which Proj Mngmt may be requested</t>
  </si>
  <si>
    <t>Remarks</t>
  </si>
  <si>
    <t>Name organisation</t>
  </si>
  <si>
    <t>Name org</t>
  </si>
  <si>
    <t>€/benchfee</t>
  </si>
  <si>
    <t>Combined notes per position - other institutes (2017 table)</t>
  </si>
  <si>
    <t>Combined notes per position - other institutes (2021 table)</t>
  </si>
  <si>
    <t xml:space="preserve">    </t>
  </si>
  <si>
    <t>Unit price or hourly rate</t>
  </si>
  <si>
    <t>Nr of units or Nr of hours</t>
  </si>
  <si>
    <t>Instruction</t>
  </si>
  <si>
    <t>Organisation name applicable</t>
  </si>
  <si>
    <t>Combined notes cofunding</t>
  </si>
  <si>
    <t>too much</t>
  </si>
  <si>
    <t>per position</t>
  </si>
  <si>
    <t>Required resources per organisation type (excl. investments by inst.)</t>
  </si>
  <si>
    <t>No costs provided</t>
  </si>
  <si>
    <t>Specify costs for this position.</t>
  </si>
  <si>
    <t>No costs given</t>
  </si>
  <si>
    <t>Investments large - amount too high</t>
  </si>
  <si>
    <t>No File number provided</t>
  </si>
  <si>
    <t>Project title not provided</t>
  </si>
  <si>
    <t>Project title is not provided.</t>
  </si>
  <si>
    <t>File number is not provided.</t>
  </si>
  <si>
    <t>Start date not provided</t>
  </si>
  <si>
    <t>End date not provided</t>
  </si>
  <si>
    <t>Combined notes start/end date</t>
  </si>
  <si>
    <t>Start date not provided.</t>
  </si>
  <si>
    <t>End date not provided.</t>
  </si>
  <si>
    <t>Empty lines</t>
  </si>
  <si>
    <t>Empty row</t>
  </si>
  <si>
    <t>Allow empty lines in between budget posts</t>
  </si>
  <si>
    <t>Empty line</t>
  </si>
  <si>
    <t>Combined notes in-kind cofunding</t>
  </si>
  <si>
    <t>No type co-funding</t>
  </si>
  <si>
    <t>In-kind - type of co-funding not specified</t>
  </si>
  <si>
    <t>Default hourly rates apply for in-kind?</t>
  </si>
  <si>
    <t>Exceeding rate</t>
  </si>
  <si>
    <t>Total Knowledge Utilisation</t>
  </si>
  <si>
    <t>Provide 1 position per row.</t>
  </si>
  <si>
    <t>Max (equiv) duration PhD [months]</t>
  </si>
  <si>
    <t>PhD duration too small</t>
  </si>
  <si>
    <t>PhD too long</t>
  </si>
  <si>
    <t>Threshold amount investments for investment nature</t>
  </si>
  <si>
    <r>
      <t xml:space="preserve">Max NWO funding - </t>
    </r>
    <r>
      <rPr>
        <b/>
        <sz val="11"/>
        <color theme="1"/>
        <rFont val="Calibri"/>
        <family val="2"/>
        <scheme val="minor"/>
      </rPr>
      <t>without</t>
    </r>
    <r>
      <rPr>
        <sz val="11"/>
        <color theme="1"/>
        <rFont val="Calibri"/>
        <family val="2"/>
        <scheme val="minor"/>
      </rPr>
      <t xml:space="preserve"> investment nature</t>
    </r>
  </si>
  <si>
    <r>
      <t xml:space="preserve">Max NWO funding - </t>
    </r>
    <r>
      <rPr>
        <b/>
        <sz val="11"/>
        <color theme="1"/>
        <rFont val="Calibri"/>
        <family val="2"/>
        <scheme val="minor"/>
      </rPr>
      <t>with</t>
    </r>
    <r>
      <rPr>
        <sz val="11"/>
        <color theme="1"/>
        <rFont val="Calibri"/>
        <family val="2"/>
        <scheme val="minor"/>
      </rPr>
      <t xml:space="preserve"> investment nature</t>
    </r>
  </si>
  <si>
    <t>Finance Summary</t>
  </si>
  <si>
    <t>Association Private</t>
  </si>
  <si>
    <t>Association Public</t>
  </si>
  <si>
    <t>Foundation Private</t>
  </si>
  <si>
    <t>Foundation Public</t>
  </si>
  <si>
    <t>Healthcare organisation Private</t>
  </si>
  <si>
    <t>Healthcare organisation Public</t>
  </si>
  <si>
    <t>Other private</t>
  </si>
  <si>
    <t>Other public</t>
  </si>
  <si>
    <t>PD min FTE</t>
  </si>
  <si>
    <t>Min duration PD [months]</t>
  </si>
  <si>
    <t>Min FTE PD [FTE]</t>
  </si>
  <si>
    <t>max nr positions</t>
  </si>
  <si>
    <t>max perc subsidy</t>
  </si>
  <si>
    <t>type institute - org main applicant:</t>
  </si>
  <si>
    <t>type institute - academic:</t>
  </si>
  <si>
    <t>list type institute - other institutes:</t>
  </si>
  <si>
    <t>list type institute - combined:</t>
  </si>
  <si>
    <t>Min nr positions personnel abroad</t>
  </si>
  <si>
    <t>Max nr positions personnel abroad</t>
  </si>
  <si>
    <t>Min amount personnel abroad</t>
  </si>
  <si>
    <t>Max amount personnel abroad</t>
  </si>
  <si>
    <t xml:space="preserve">Min perc NWO funding personnel abroad </t>
  </si>
  <si>
    <t xml:space="preserve">Max perc NWO funding personnel abroad </t>
  </si>
  <si>
    <t>Amount not specified</t>
  </si>
  <si>
    <t>Organisation abroad</t>
  </si>
  <si>
    <t>Item list name to indicate personnel abroad</t>
  </si>
  <si>
    <t>Check eligibility for bench fee</t>
  </si>
  <si>
    <t>Position</t>
  </si>
  <si>
    <t>organisation type</t>
  </si>
  <si>
    <t>eligible?</t>
  </si>
  <si>
    <t>EngD position can only be requested if also PhD or PD position is requested.</t>
  </si>
  <si>
    <t>EngD duration</t>
  </si>
  <si>
    <t>EngD combination with PhD/PD</t>
  </si>
  <si>
    <t>Provide FTE and months.</t>
  </si>
  <si>
    <t>UNL - Non-scientific personnel (MBO)</t>
  </si>
  <si>
    <t>UNL - Non-scientific personnel (HBO)</t>
  </si>
  <si>
    <t>UNL - Non-scientific personnel (WO)</t>
  </si>
  <si>
    <t>Knowledge Utilisation</t>
  </si>
  <si>
    <t>Total knowledge utilisation:</t>
  </si>
  <si>
    <t>Max % of KU for organisations abroad</t>
  </si>
  <si>
    <t>Benchfee only for PhD, PD, ENgD, (physician) researcher</t>
  </si>
  <si>
    <t>Salary table UNL/NFU</t>
  </si>
  <si>
    <t>Maximum allowed requested amount for materials</t>
  </si>
  <si>
    <t>Combined notes Materials</t>
  </si>
  <si>
    <t>Material - no amount provided</t>
  </si>
  <si>
    <t>Please provide an amount for this budget post.</t>
  </si>
  <si>
    <t>Max % wrt personnel</t>
  </si>
  <si>
    <t>Combined notes Knowledge Utilisation</t>
  </si>
  <si>
    <t>KU - Total % too high</t>
  </si>
  <si>
    <t>% of NWO budget too high</t>
  </si>
  <si>
    <t>Amount not provided</t>
  </si>
  <si>
    <t>KU - amount not provided</t>
  </si>
  <si>
    <t>Personnel - PhD - appointment too short</t>
  </si>
  <si>
    <t>Personnel - PhD - appointment too long</t>
  </si>
  <si>
    <t>Personnel - EngD - combination with PhD or Postdoc</t>
  </si>
  <si>
    <t>Personnel - EngD - too long</t>
  </si>
  <si>
    <t>Personnel - Postdoc - too short</t>
  </si>
  <si>
    <t>Personnel - Postdoc - FTE too low</t>
  </si>
  <si>
    <t>Personnel - Postdoc - too long</t>
  </si>
  <si>
    <t>Min (equiv) duration Physician researcher position [months]</t>
  </si>
  <si>
    <t>Max (equiv) duration Physician researcher position [months]</t>
  </si>
  <si>
    <t>Personnel - Physician researcher position- (equivalent) duration not long enough</t>
  </si>
  <si>
    <t>Personnel -Phyisician researcher position - (equivalent) duration too long</t>
  </si>
  <si>
    <t>Section CfP max tariffs personel other institutes.</t>
  </si>
  <si>
    <t>Combined notes per position - fixed personnel (assistant, associate, full professor)</t>
  </si>
  <si>
    <t>Max % of NWO-budget for assistent/associate/full profs</t>
  </si>
  <si>
    <t>UNL:</t>
  </si>
  <si>
    <t>HOT-Table year:</t>
  </si>
  <si>
    <t>date UNL rates</t>
  </si>
  <si>
    <t>Max nr positions personnel other institution</t>
  </si>
  <si>
    <t>Max % of NWO-budget for personnel other institution</t>
  </si>
  <si>
    <t>Phys-researcher min duration</t>
  </si>
  <si>
    <t>Phys-researcher max duration</t>
  </si>
  <si>
    <t>Private co-funding</t>
  </si>
  <si>
    <t>yes: column visible to specify organisation type</t>
  </si>
  <si>
    <t>yes: column visible to provide organisation name</t>
  </si>
  <si>
    <t>if no: warning appears in Budget sheet if any empty line</t>
  </si>
  <si>
    <t>Realised</t>
  </si>
  <si>
    <t>Work Package</t>
  </si>
  <si>
    <t>Remarks/Name researcher</t>
  </si>
  <si>
    <t>Change requests</t>
  </si>
  <si>
    <t>PD appointment</t>
  </si>
  <si>
    <t>knowledge institute</t>
  </si>
  <si>
    <t>Max % materials for organisations abroad</t>
  </si>
  <si>
    <t>0</t>
  </si>
  <si>
    <t>Amount personnel abroad per organisation above which an audit statement is required</t>
  </si>
  <si>
    <t>Personnel abroad - amount per organisation</t>
  </si>
  <si>
    <t>Total amount/org</t>
  </si>
  <si>
    <t>Total investments:</t>
  </si>
  <si>
    <t>Salary costs applicant</t>
  </si>
  <si>
    <t>Applicant:</t>
  </si>
  <si>
    <t>Max amount for assistant/associate/full profs</t>
  </si>
  <si>
    <t>Provide FTE, months and costs.</t>
  </si>
  <si>
    <t>Covering excess costs by host institute</t>
  </si>
  <si>
    <t>Co-funding by third parties</t>
  </si>
  <si>
    <t>Total covering excess costs by host institute:</t>
  </si>
  <si>
    <t>Total project budget incl. co-funding and excess costs</t>
  </si>
  <si>
    <t>Total covering excess costs by host institute</t>
  </si>
  <si>
    <t>Kolom1</t>
  </si>
  <si>
    <t>Host institute:</t>
  </si>
  <si>
    <t>UMCNL  - Non-scientific personnel (MBO)</t>
  </si>
  <si>
    <t>UMCNL  - Non-scientific personnel (HBO)</t>
  </si>
  <si>
    <t>UMCNL  - Non-scientific personnel (WO)</t>
  </si>
  <si>
    <t>UNL - PhD</t>
  </si>
  <si>
    <t>UNL - EngD</t>
  </si>
  <si>
    <t>UNL - Postdoc</t>
  </si>
  <si>
    <t>UMCNL - PhD</t>
  </si>
  <si>
    <t>UMCNL - EngD</t>
  </si>
  <si>
    <t>UMCNL - Postdoc</t>
  </si>
  <si>
    <t>UMCNL - Physician-researcher</t>
  </si>
  <si>
    <t>Organisation + Description of coverered costs</t>
  </si>
  <si>
    <t>yes</t>
  </si>
  <si>
    <t>Type co-funding</t>
  </si>
  <si>
    <t>Benchfee can only be requested for PhD, Postdoc, EngD and Physician-researcher positions.</t>
  </si>
  <si>
    <t>Material - amount compared to NWO budget too high</t>
  </si>
  <si>
    <t>Budget for Material costs exceeds 50% of NWO funding.</t>
  </si>
  <si>
    <t>Max % of NWO funding</t>
  </si>
  <si>
    <t>Organisation + description of co-funding</t>
  </si>
  <si>
    <t>x</t>
  </si>
  <si>
    <t>Budget modules and explanation</t>
  </si>
  <si>
    <t>Budget form NWO Talent Programme Vici 2026</t>
  </si>
  <si>
    <t>Notes on budget format:
- Only the blue-marked fields should be filled in;
- Provide in-cash amounts without VAT;
- In case you do not have to pay VAT because of own appointments,
   VAT cannot be included in the budget.
- You may wish to consult sections 3.2 and 7 of the Call for Proposals 
   for further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</si>
</sst>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€&quot;\ #,##0;&quot;€&quot;\ \-#,##0"/>
    <numFmt numFmtId="164" formatCode="&quot;€&quot;\ #,##0.00"/>
    <numFmt numFmtId="165" formatCode="&quot;€&quot;\ #,##0"/>
    <numFmt numFmtId="166" formatCode="0.0%"/>
    <numFmt numFmtId="167" formatCode="[$-413]d/mmm/yyyy;@"/>
    <numFmt numFmtId="168" formatCode="\ "/>
    <numFmt numFmtId="169" formatCode="0;\-0;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1356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2"/>
      <color rgb="FFFF000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CBDED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indexed="65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rgb="FFCBDFDE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medium">
        <color indexed="64"/>
      </right>
      <top style="thin">
        <color theme="4" tint="0.39997558519241921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10" borderId="0" applyNumberFormat="0" applyBorder="0" applyAlignment="0" applyProtection="0"/>
  </cellStyleXfs>
  <cellXfs count="362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top"/>
    </xf>
    <xf numFmtId="14" fontId="5" fillId="3" borderId="1" xfId="0" applyNumberFormat="1" applyFont="1" applyFill="1" applyBorder="1" applyAlignment="1" applyProtection="1">
      <alignment vertical="center"/>
      <protection hidden="1"/>
    </xf>
    <xf numFmtId="0" fontId="5" fillId="3" borderId="3" xfId="0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2" borderId="1" xfId="0" applyFont="1" applyFill="1" applyBorder="1" applyAlignment="1">
      <alignment vertical="center"/>
    </xf>
    <xf numFmtId="165" fontId="4" fillId="0" borderId="1" xfId="0" applyNumberFormat="1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>
      <alignment vertical="top"/>
    </xf>
    <xf numFmtId="0" fontId="6" fillId="0" borderId="0" xfId="0" applyFont="1" applyAlignment="1" applyProtection="1">
      <alignment vertical="center"/>
      <protection hidden="1"/>
    </xf>
    <xf numFmtId="0" fontId="4" fillId="0" borderId="12" xfId="0" applyFont="1" applyBorder="1" applyAlignment="1">
      <alignment vertical="center"/>
    </xf>
    <xf numFmtId="0" fontId="6" fillId="0" borderId="0" xfId="0" quotePrefix="1" applyFont="1" applyAlignment="1" applyProtection="1">
      <alignment vertical="center"/>
      <protection hidden="1"/>
    </xf>
    <xf numFmtId="0" fontId="5" fillId="6" borderId="4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top"/>
      <protection hidden="1"/>
    </xf>
    <xf numFmtId="0" fontId="4" fillId="0" borderId="11" xfId="0" applyFont="1" applyBorder="1" applyAlignment="1" applyProtection="1">
      <alignment vertical="center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5" fillId="0" borderId="4" xfId="0" applyFont="1" applyBorder="1" applyAlignment="1">
      <alignment horizontal="center" vertical="center"/>
    </xf>
    <xf numFmtId="0" fontId="0" fillId="0" borderId="0" xfId="0" applyAlignment="1" applyProtection="1">
      <alignment vertical="center"/>
      <protection hidden="1"/>
    </xf>
    <xf numFmtId="165" fontId="0" fillId="0" borderId="0" xfId="0" applyNumberForma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5" borderId="24" xfId="0" applyFont="1" applyFill="1" applyBorder="1" applyAlignment="1" applyProtection="1">
      <alignment vertical="center"/>
      <protection locked="0"/>
    </xf>
    <xf numFmtId="0" fontId="4" fillId="5" borderId="20" xfId="0" applyFont="1" applyFill="1" applyBorder="1" applyAlignment="1" applyProtection="1">
      <alignment vertical="center"/>
      <protection locked="0"/>
    </xf>
    <xf numFmtId="0" fontId="5" fillId="6" borderId="10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center" vertical="center"/>
    </xf>
    <xf numFmtId="165" fontId="4" fillId="0" borderId="31" xfId="0" applyNumberFormat="1" applyFont="1" applyBorder="1" applyAlignment="1" applyProtection="1">
      <alignment vertical="center"/>
      <protection hidden="1"/>
    </xf>
    <xf numFmtId="165" fontId="4" fillId="0" borderId="30" xfId="0" applyNumberFormat="1" applyFont="1" applyBorder="1" applyAlignment="1" applyProtection="1">
      <alignment vertical="center"/>
      <protection hidden="1"/>
    </xf>
    <xf numFmtId="0" fontId="5" fillId="0" borderId="4" xfId="0" applyFont="1" applyBorder="1" applyAlignment="1">
      <alignment vertical="center"/>
    </xf>
    <xf numFmtId="0" fontId="5" fillId="6" borderId="0" xfId="0" applyFont="1" applyFill="1" applyAlignment="1">
      <alignment horizontal="center" vertical="center"/>
    </xf>
    <xf numFmtId="0" fontId="4" fillId="5" borderId="23" xfId="0" applyFont="1" applyFill="1" applyBorder="1" applyAlignment="1" applyProtection="1">
      <alignment horizontal="left" vertical="center"/>
      <protection locked="0"/>
    </xf>
    <xf numFmtId="0" fontId="4" fillId="5" borderId="25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0" fillId="0" borderId="0" xfId="0" applyNumberFormat="1" applyAlignment="1" applyProtection="1">
      <alignment horizontal="left" vertical="center"/>
      <protection hidden="1"/>
    </xf>
    <xf numFmtId="3" fontId="4" fillId="0" borderId="16" xfId="0" applyNumberFormat="1" applyFont="1" applyBorder="1" applyAlignment="1" applyProtection="1">
      <alignment horizontal="center" vertical="center"/>
      <protection hidden="1"/>
    </xf>
    <xf numFmtId="3" fontId="4" fillId="0" borderId="19" xfId="0" applyNumberFormat="1" applyFont="1" applyBorder="1" applyAlignment="1" applyProtection="1">
      <alignment horizontal="center" vertical="center"/>
      <protection hidden="1"/>
    </xf>
    <xf numFmtId="0" fontId="4" fillId="5" borderId="20" xfId="0" applyFont="1" applyFill="1" applyBorder="1" applyAlignment="1" applyProtection="1">
      <alignment horizontal="left" vertical="center"/>
      <protection locked="0"/>
    </xf>
    <xf numFmtId="0" fontId="4" fillId="5" borderId="18" xfId="0" applyFont="1" applyFill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horizontal="left" vertical="center"/>
      <protection hidden="1"/>
    </xf>
    <xf numFmtId="0" fontId="4" fillId="5" borderId="17" xfId="0" applyFont="1" applyFill="1" applyBorder="1" applyAlignment="1" applyProtection="1">
      <alignment vertical="center"/>
      <protection locked="0"/>
    </xf>
    <xf numFmtId="0" fontId="4" fillId="5" borderId="24" xfId="0" applyFont="1" applyFill="1" applyBorder="1" applyAlignment="1" applyProtection="1">
      <alignment horizontal="left" vertical="center"/>
      <protection locked="0"/>
    </xf>
    <xf numFmtId="0" fontId="5" fillId="0" borderId="10" xfId="0" applyFont="1" applyBorder="1" applyAlignment="1">
      <alignment horizontal="left" vertical="center"/>
    </xf>
    <xf numFmtId="0" fontId="14" fillId="5" borderId="20" xfId="0" applyFont="1" applyFill="1" applyBorder="1" applyAlignment="1" applyProtection="1">
      <alignment horizontal="left" vertical="center"/>
      <protection locked="0"/>
    </xf>
    <xf numFmtId="2" fontId="4" fillId="5" borderId="16" xfId="0" applyNumberFormat="1" applyFont="1" applyFill="1" applyBorder="1" applyAlignment="1" applyProtection="1">
      <alignment horizontal="center" vertical="center"/>
      <protection locked="0"/>
    </xf>
    <xf numFmtId="2" fontId="4" fillId="5" borderId="19" xfId="0" applyNumberFormat="1" applyFont="1" applyFill="1" applyBorder="1" applyAlignment="1" applyProtection="1">
      <alignment horizontal="center" vertical="center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1" fontId="4" fillId="5" borderId="19" xfId="0" applyNumberFormat="1" applyFont="1" applyFill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left" vertical="center"/>
    </xf>
    <xf numFmtId="0" fontId="4" fillId="5" borderId="21" xfId="0" applyFont="1" applyFill="1" applyBorder="1" applyAlignment="1">
      <alignment horizontal="left" vertical="center"/>
    </xf>
    <xf numFmtId="0" fontId="4" fillId="5" borderId="24" xfId="0" applyFont="1" applyFill="1" applyBorder="1" applyAlignment="1" applyProtection="1">
      <alignment vertical="center"/>
      <protection hidden="1"/>
    </xf>
    <xf numFmtId="0" fontId="4" fillId="5" borderId="27" xfId="0" applyFont="1" applyFill="1" applyBorder="1" applyAlignment="1" applyProtection="1">
      <alignment vertical="center"/>
      <protection hidden="1"/>
    </xf>
    <xf numFmtId="0" fontId="4" fillId="5" borderId="20" xfId="0" applyFont="1" applyFill="1" applyBorder="1" applyAlignment="1" applyProtection="1">
      <alignment vertical="center"/>
      <protection hidden="1"/>
    </xf>
    <xf numFmtId="0" fontId="4" fillId="5" borderId="21" xfId="0" applyFont="1" applyFill="1" applyBorder="1" applyAlignment="1" applyProtection="1">
      <alignment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5" borderId="22" xfId="0" applyFont="1" applyFill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vertical="center"/>
      <protection hidden="1"/>
    </xf>
    <xf numFmtId="165" fontId="4" fillId="5" borderId="17" xfId="0" applyNumberFormat="1" applyFont="1" applyFill="1" applyBorder="1" applyAlignment="1" applyProtection="1">
      <alignment vertical="center"/>
      <protection locked="0"/>
    </xf>
    <xf numFmtId="0" fontId="4" fillId="5" borderId="23" xfId="0" applyFont="1" applyFill="1" applyBorder="1" applyAlignment="1" applyProtection="1">
      <alignment vertical="center"/>
      <protection locked="0"/>
    </xf>
    <xf numFmtId="165" fontId="4" fillId="5" borderId="18" xfId="0" applyNumberFormat="1" applyFont="1" applyFill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hidden="1"/>
    </xf>
    <xf numFmtId="0" fontId="4" fillId="6" borderId="4" xfId="0" applyFont="1" applyFill="1" applyBorder="1" applyAlignment="1" applyProtection="1">
      <alignment vertical="center"/>
      <protection hidden="1"/>
    </xf>
    <xf numFmtId="0" fontId="4" fillId="6" borderId="4" xfId="0" applyFont="1" applyFill="1" applyBorder="1" applyAlignment="1" applyProtection="1">
      <alignment horizontal="center" vertical="center"/>
      <protection hidden="1"/>
    </xf>
    <xf numFmtId="3" fontId="4" fillId="5" borderId="27" xfId="0" applyNumberFormat="1" applyFont="1" applyFill="1" applyBorder="1" applyAlignment="1" applyProtection="1">
      <alignment horizontal="center" vertical="center"/>
      <protection locked="0"/>
    </xf>
    <xf numFmtId="3" fontId="4" fillId="5" borderId="21" xfId="0" applyNumberFormat="1" applyFont="1" applyFill="1" applyBorder="1" applyAlignment="1" applyProtection="1">
      <alignment horizontal="center" vertical="center"/>
      <protection locked="0"/>
    </xf>
    <xf numFmtId="4" fontId="4" fillId="0" borderId="16" xfId="0" applyNumberFormat="1" applyFont="1" applyBorder="1" applyAlignment="1" applyProtection="1">
      <alignment horizontal="center" vertical="center"/>
      <protection hidden="1"/>
    </xf>
    <xf numFmtId="4" fontId="4" fillId="0" borderId="19" xfId="0" applyNumberFormat="1" applyFont="1" applyBorder="1" applyAlignment="1" applyProtection="1">
      <alignment horizontal="center" vertical="center"/>
      <protection hidden="1"/>
    </xf>
    <xf numFmtId="3" fontId="0" fillId="0" borderId="0" xfId="0" applyNumberFormat="1" applyAlignment="1" applyProtection="1">
      <alignment horizontal="left" vertical="center"/>
      <protection hidden="1"/>
    </xf>
    <xf numFmtId="0" fontId="4" fillId="0" borderId="33" xfId="0" applyFont="1" applyBorder="1" applyAlignment="1" applyProtection="1">
      <alignment horizontal="left" vertical="center"/>
      <protection hidden="1"/>
    </xf>
    <xf numFmtId="0" fontId="5" fillId="0" borderId="1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165" fontId="4" fillId="5" borderId="31" xfId="0" applyNumberFormat="1" applyFont="1" applyFill="1" applyBorder="1" applyAlignment="1" applyProtection="1">
      <alignment vertical="center"/>
      <protection locked="0"/>
    </xf>
    <xf numFmtId="165" fontId="4" fillId="5" borderId="30" xfId="0" applyNumberFormat="1" applyFont="1" applyFill="1" applyBorder="1" applyAlignment="1" applyProtection="1">
      <alignment vertical="center"/>
      <protection locked="0"/>
    </xf>
    <xf numFmtId="14" fontId="0" fillId="0" borderId="0" xfId="0" applyNumberFormat="1" applyAlignment="1" applyProtection="1">
      <alignment horizontal="left" vertical="center"/>
      <protection hidden="1"/>
    </xf>
    <xf numFmtId="1" fontId="0" fillId="0" borderId="0" xfId="0" applyNumberFormat="1" applyAlignment="1" applyProtection="1">
      <alignment horizontal="left" vertical="center"/>
      <protection hidden="1"/>
    </xf>
    <xf numFmtId="9" fontId="0" fillId="0" borderId="0" xfId="0" applyNumberFormat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 wrapText="1"/>
      <protection hidden="1"/>
    </xf>
    <xf numFmtId="165" fontId="0" fillId="0" borderId="0" xfId="0" applyNumberFormat="1" applyAlignment="1" applyProtection="1">
      <alignment horizontal="left" vertical="top"/>
      <protection hidden="1"/>
    </xf>
    <xf numFmtId="0" fontId="15" fillId="0" borderId="0" xfId="0" applyFont="1" applyAlignment="1" applyProtection="1">
      <alignment vertical="center" wrapText="1"/>
      <protection hidden="1"/>
    </xf>
    <xf numFmtId="165" fontId="4" fillId="0" borderId="16" xfId="0" applyNumberFormat="1" applyFont="1" applyBorder="1" applyAlignment="1" applyProtection="1">
      <alignment horizontal="center" vertical="center"/>
      <protection locked="0"/>
    </xf>
    <xf numFmtId="165" fontId="4" fillId="0" borderId="19" xfId="0" applyNumberFormat="1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left" vertical="center"/>
      <protection hidden="1"/>
    </xf>
    <xf numFmtId="0" fontId="0" fillId="0" borderId="39" xfId="0" applyBorder="1" applyAlignment="1" applyProtection="1">
      <alignment horizontal="left" vertical="center"/>
      <protection hidden="1"/>
    </xf>
    <xf numFmtId="3" fontId="0" fillId="0" borderId="15" xfId="0" applyNumberFormat="1" applyBorder="1" applyAlignment="1" applyProtection="1">
      <alignment vertical="center"/>
      <protection hidden="1"/>
    </xf>
    <xf numFmtId="0" fontId="12" fillId="0" borderId="0" xfId="0" applyFont="1" applyAlignment="1">
      <alignment vertical="center"/>
    </xf>
    <xf numFmtId="0" fontId="0" fillId="0" borderId="0" xfId="0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4" fillId="5" borderId="36" xfId="0" applyFont="1" applyFill="1" applyBorder="1" applyAlignment="1" applyProtection="1">
      <alignment vertical="center"/>
      <protection locked="0"/>
    </xf>
    <xf numFmtId="0" fontId="4" fillId="5" borderId="34" xfId="0" applyFont="1" applyFill="1" applyBorder="1" applyAlignment="1">
      <alignment horizontal="left" vertical="center"/>
    </xf>
    <xf numFmtId="1" fontId="4" fillId="5" borderId="34" xfId="0" applyNumberFormat="1" applyFont="1" applyFill="1" applyBorder="1" applyAlignment="1">
      <alignment horizontal="center" vertical="center"/>
    </xf>
    <xf numFmtId="1" fontId="4" fillId="5" borderId="20" xfId="0" applyNumberFormat="1" applyFont="1" applyFill="1" applyBorder="1" applyAlignment="1">
      <alignment horizontal="center" vertical="center"/>
    </xf>
    <xf numFmtId="0" fontId="8" fillId="0" borderId="12" xfId="2" quotePrefix="1" applyFont="1" applyBorder="1" applyAlignment="1" applyProtection="1">
      <alignment vertical="center" wrapText="1"/>
      <protection hidden="1"/>
    </xf>
    <xf numFmtId="167" fontId="4" fillId="5" borderId="1" xfId="0" applyNumberFormat="1" applyFont="1" applyFill="1" applyBorder="1" applyAlignment="1" applyProtection="1">
      <alignment vertical="center"/>
      <protection locked="0"/>
    </xf>
    <xf numFmtId="0" fontId="0" fillId="8" borderId="0" xfId="0" applyFill="1"/>
    <xf numFmtId="3" fontId="0" fillId="8" borderId="0" xfId="0" applyNumberFormat="1" applyFill="1"/>
    <xf numFmtId="3" fontId="0" fillId="8" borderId="0" xfId="0" applyNumberFormat="1" applyFill="1" applyAlignment="1">
      <alignment horizontal="right"/>
    </xf>
    <xf numFmtId="1" fontId="0" fillId="8" borderId="0" xfId="0" applyNumberFormat="1" applyFill="1" applyAlignment="1">
      <alignment horizontal="left"/>
    </xf>
    <xf numFmtId="0" fontId="4" fillId="8" borderId="0" xfId="0" applyFont="1" applyFill="1"/>
    <xf numFmtId="0" fontId="19" fillId="8" borderId="0" xfId="0" applyFont="1" applyFill="1"/>
    <xf numFmtId="165" fontId="0" fillId="8" borderId="0" xfId="0" applyNumberFormat="1" applyFill="1"/>
    <xf numFmtId="3" fontId="0" fillId="8" borderId="0" xfId="0" applyNumberFormat="1" applyFill="1" applyAlignment="1">
      <alignment horizontal="center"/>
    </xf>
    <xf numFmtId="165" fontId="19" fillId="8" borderId="0" xfId="0" applyNumberFormat="1" applyFont="1" applyFill="1"/>
    <xf numFmtId="165" fontId="19" fillId="8" borderId="0" xfId="0" applyNumberFormat="1" applyFont="1" applyFill="1" applyAlignment="1">
      <alignment horizontal="right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36" xfId="0" applyFont="1" applyBorder="1" applyAlignment="1" applyProtection="1">
      <alignment horizontal="left" vertical="center"/>
      <protection hidden="1"/>
    </xf>
    <xf numFmtId="0" fontId="4" fillId="0" borderId="23" xfId="0" applyFont="1" applyBorder="1" applyAlignment="1" applyProtection="1">
      <alignment horizontal="left" vertical="center"/>
      <protection hidden="1"/>
    </xf>
    <xf numFmtId="0" fontId="13" fillId="7" borderId="29" xfId="0" applyFont="1" applyFill="1" applyBorder="1" applyAlignment="1" applyProtection="1">
      <alignment vertical="center"/>
      <protection hidden="1"/>
    </xf>
    <xf numFmtId="0" fontId="13" fillId="7" borderId="0" xfId="0" applyFont="1" applyFill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11" fillId="0" borderId="0" xfId="0" applyFont="1" applyAlignment="1" applyProtection="1">
      <alignment horizontal="left" vertical="center"/>
      <protection hidden="1"/>
    </xf>
    <xf numFmtId="165" fontId="11" fillId="0" borderId="0" xfId="0" applyNumberFormat="1" applyFont="1" applyAlignment="1" applyProtection="1">
      <alignment horizontal="left" vertical="center"/>
      <protection hidden="1"/>
    </xf>
    <xf numFmtId="0" fontId="3" fillId="0" borderId="0" xfId="2" applyAlignment="1" applyProtection="1">
      <alignment vertical="top"/>
      <protection hidden="1"/>
    </xf>
    <xf numFmtId="0" fontId="3" fillId="0" borderId="0" xfId="2" applyProtection="1">
      <protection hidden="1"/>
    </xf>
    <xf numFmtId="0" fontId="2" fillId="0" borderId="0" xfId="0" applyFont="1" applyProtection="1">
      <protection hidden="1"/>
    </xf>
    <xf numFmtId="166" fontId="2" fillId="0" borderId="0" xfId="0" applyNumberFormat="1" applyFont="1" applyProtection="1">
      <protection hidden="1"/>
    </xf>
    <xf numFmtId="0" fontId="18" fillId="0" borderId="0" xfId="0" applyFont="1" applyProtection="1">
      <protection hidden="1"/>
    </xf>
    <xf numFmtId="166" fontId="0" fillId="0" borderId="0" xfId="0" applyNumberFormat="1" applyProtection="1">
      <protection hidden="1"/>
    </xf>
    <xf numFmtId="0" fontId="17" fillId="0" borderId="0" xfId="0" applyFont="1" applyAlignment="1" applyProtection="1">
      <alignment vertical="center"/>
      <protection hidden="1"/>
    </xf>
    <xf numFmtId="165" fontId="17" fillId="0" borderId="0" xfId="0" applyNumberFormat="1" applyFont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0" fillId="0" borderId="31" xfId="0" applyBorder="1" applyAlignment="1" applyProtection="1">
      <alignment horizontal="left" vertical="center"/>
      <protection hidden="1"/>
    </xf>
    <xf numFmtId="0" fontId="0" fillId="0" borderId="30" xfId="0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right"/>
      <protection hidden="1"/>
    </xf>
    <xf numFmtId="165" fontId="2" fillId="0" borderId="0" xfId="0" applyNumberFormat="1" applyFont="1" applyProtection="1">
      <protection hidden="1"/>
    </xf>
    <xf numFmtId="0" fontId="0" fillId="0" borderId="0" xfId="0" applyAlignment="1" applyProtection="1">
      <alignment vertical="top" wrapText="1"/>
      <protection hidden="1"/>
    </xf>
    <xf numFmtId="0" fontId="15" fillId="0" borderId="0" xfId="0" applyFont="1" applyAlignment="1" applyProtection="1">
      <alignment vertical="top" wrapText="1"/>
      <protection hidden="1"/>
    </xf>
    <xf numFmtId="165" fontId="4" fillId="0" borderId="1" xfId="0" applyNumberFormat="1" applyFont="1" applyBorder="1" applyAlignment="1" applyProtection="1">
      <alignment horizontal="right" vertical="center"/>
      <protection hidden="1"/>
    </xf>
    <xf numFmtId="0" fontId="15" fillId="8" borderId="0" xfId="0" applyFont="1" applyFill="1"/>
    <xf numFmtId="0" fontId="5" fillId="3" borderId="1" xfId="0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0" fontId="0" fillId="8" borderId="0" xfId="0" applyFill="1" applyAlignment="1">
      <alignment wrapText="1"/>
    </xf>
    <xf numFmtId="0" fontId="5" fillId="8" borderId="40" xfId="0" applyFont="1" applyFill="1" applyBorder="1"/>
    <xf numFmtId="165" fontId="5" fillId="8" borderId="40" xfId="0" applyNumberFormat="1" applyFont="1" applyFill="1" applyBorder="1" applyAlignment="1">
      <alignment horizontal="left" vertical="top"/>
    </xf>
    <xf numFmtId="0" fontId="6" fillId="8" borderId="38" xfId="0" quotePrefix="1" applyFont="1" applyFill="1" applyBorder="1" applyAlignment="1">
      <alignment horizontal="right"/>
    </xf>
    <xf numFmtId="165" fontId="6" fillId="8" borderId="38" xfId="0" applyNumberFormat="1" applyFont="1" applyFill="1" applyBorder="1"/>
    <xf numFmtId="0" fontId="5" fillId="8" borderId="30" xfId="0" applyFont="1" applyFill="1" applyBorder="1"/>
    <xf numFmtId="165" fontId="5" fillId="8" borderId="30" xfId="0" applyNumberFormat="1" applyFont="1" applyFill="1" applyBorder="1" applyAlignment="1">
      <alignment horizontal="left"/>
    </xf>
    <xf numFmtId="0" fontId="10" fillId="3" borderId="1" xfId="0" applyFont="1" applyFill="1" applyBorder="1"/>
    <xf numFmtId="165" fontId="10" fillId="3" borderId="1" xfId="0" applyNumberFormat="1" applyFont="1" applyFill="1" applyBorder="1" applyAlignment="1">
      <alignment horizontal="left"/>
    </xf>
    <xf numFmtId="0" fontId="5" fillId="4" borderId="1" xfId="0" applyFont="1" applyFill="1" applyBorder="1"/>
    <xf numFmtId="165" fontId="5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165" fontId="4" fillId="8" borderId="0" xfId="0" applyNumberFormat="1" applyFont="1" applyFill="1"/>
    <xf numFmtId="0" fontId="4" fillId="0" borderId="38" xfId="0" applyFont="1" applyBorder="1"/>
    <xf numFmtId="165" fontId="4" fillId="0" borderId="38" xfId="0" applyNumberFormat="1" applyFont="1" applyBorder="1" applyAlignment="1">
      <alignment horizontal="left" vertical="center"/>
    </xf>
    <xf numFmtId="0" fontId="4" fillId="8" borderId="38" xfId="0" applyFont="1" applyFill="1" applyBorder="1"/>
    <xf numFmtId="165" fontId="4" fillId="8" borderId="38" xfId="0" applyNumberFormat="1" applyFont="1" applyFill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6" fillId="8" borderId="41" xfId="0" quotePrefix="1" applyFont="1" applyFill="1" applyBorder="1" applyAlignment="1">
      <alignment horizontal="right"/>
    </xf>
    <xf numFmtId="165" fontId="6" fillId="8" borderId="41" xfId="0" applyNumberFormat="1" applyFont="1" applyFill="1" applyBorder="1" applyAlignment="1">
      <alignment horizontal="right"/>
    </xf>
    <xf numFmtId="165" fontId="6" fillId="0" borderId="41" xfId="0" applyNumberFormat="1" applyFont="1" applyBorder="1" applyAlignment="1">
      <alignment horizontal="right"/>
    </xf>
    <xf numFmtId="0" fontId="4" fillId="8" borderId="41" xfId="0" applyFont="1" applyFill="1" applyBorder="1" applyAlignment="1">
      <alignment horizontal="left"/>
    </xf>
    <xf numFmtId="165" fontId="4" fillId="8" borderId="41" xfId="0" applyNumberFormat="1" applyFont="1" applyFill="1" applyBorder="1" applyAlignment="1">
      <alignment horizontal="right"/>
    </xf>
    <xf numFmtId="165" fontId="4" fillId="0" borderId="41" xfId="0" applyNumberFormat="1" applyFont="1" applyBorder="1" applyAlignment="1">
      <alignment horizontal="right"/>
    </xf>
    <xf numFmtId="0" fontId="5" fillId="3" borderId="1" xfId="0" applyFont="1" applyFill="1" applyBorder="1"/>
    <xf numFmtId="165" fontId="5" fillId="8" borderId="1" xfId="0" applyNumberFormat="1" applyFont="1" applyFill="1" applyBorder="1"/>
    <xf numFmtId="0" fontId="4" fillId="0" borderId="0" xfId="0" applyFont="1"/>
    <xf numFmtId="165" fontId="15" fillId="8" borderId="0" xfId="0" applyNumberFormat="1" applyFont="1" applyFill="1"/>
    <xf numFmtId="0" fontId="15" fillId="0" borderId="0" xfId="0" applyFont="1"/>
    <xf numFmtId="0" fontId="5" fillId="9" borderId="9" xfId="0" applyFont="1" applyFill="1" applyBorder="1" applyAlignment="1">
      <alignment wrapText="1"/>
    </xf>
    <xf numFmtId="3" fontId="5" fillId="9" borderId="9" xfId="0" applyNumberFormat="1" applyFont="1" applyFill="1" applyBorder="1" applyAlignment="1">
      <alignment horizontal="left" vertical="top" wrapText="1"/>
    </xf>
    <xf numFmtId="0" fontId="13" fillId="7" borderId="42" xfId="0" applyFont="1" applyFill="1" applyBorder="1"/>
    <xf numFmtId="0" fontId="0" fillId="0" borderId="0" xfId="0" applyAlignment="1" applyProtection="1">
      <alignment horizontal="left" vertical="center"/>
      <protection hidden="1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165" fontId="4" fillId="0" borderId="16" xfId="0" applyNumberFormat="1" applyFont="1" applyBorder="1" applyAlignment="1" applyProtection="1">
      <alignment horizontal="center" vertical="center"/>
      <protection hidden="1"/>
    </xf>
    <xf numFmtId="165" fontId="4" fillId="0" borderId="19" xfId="0" applyNumberFormat="1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>
      <alignment horizontal="center" vertical="center" wrapText="1"/>
    </xf>
    <xf numFmtId="165" fontId="4" fillId="5" borderId="24" xfId="0" applyNumberFormat="1" applyFont="1" applyFill="1" applyBorder="1" applyAlignment="1" applyProtection="1">
      <alignment horizontal="center" vertical="center"/>
      <protection hidden="1"/>
    </xf>
    <xf numFmtId="165" fontId="4" fillId="5" borderId="20" xfId="0" applyNumberFormat="1" applyFont="1" applyFill="1" applyBorder="1" applyAlignment="1" applyProtection="1">
      <alignment horizontal="center" vertical="center"/>
      <protection hidden="1"/>
    </xf>
    <xf numFmtId="165" fontId="14" fillId="5" borderId="20" xfId="0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10" fillId="2" borderId="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6" fillId="0" borderId="4" xfId="0" applyFont="1" applyBorder="1" applyAlignment="1" applyProtection="1">
      <alignment vertical="center"/>
      <protection hidden="1"/>
    </xf>
    <xf numFmtId="0" fontId="4" fillId="5" borderId="16" xfId="0" applyFont="1" applyFill="1" applyBorder="1" applyAlignment="1" applyProtection="1">
      <alignment horizontal="left" vertical="center"/>
      <protection locked="0"/>
    </xf>
    <xf numFmtId="0" fontId="4" fillId="5" borderId="19" xfId="0" applyFont="1" applyFill="1" applyBorder="1" applyAlignment="1" applyProtection="1">
      <alignment horizontal="left" vertical="center"/>
      <protection locked="0"/>
    </xf>
    <xf numFmtId="3" fontId="4" fillId="0" borderId="34" xfId="0" applyNumberFormat="1" applyFont="1" applyBorder="1" applyAlignment="1" applyProtection="1">
      <alignment horizontal="center" vertical="center"/>
      <protection hidden="1"/>
    </xf>
    <xf numFmtId="3" fontId="4" fillId="0" borderId="20" xfId="0" applyNumberFormat="1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0" fontId="4" fillId="5" borderId="34" xfId="0" applyFont="1" applyFill="1" applyBorder="1" applyAlignment="1" applyProtection="1">
      <alignment horizontal="left" vertical="center"/>
      <protection locked="0"/>
    </xf>
    <xf numFmtId="0" fontId="4" fillId="5" borderId="35" xfId="0" applyFont="1" applyFill="1" applyBorder="1" applyAlignment="1">
      <alignment horizontal="left" vertical="center"/>
    </xf>
    <xf numFmtId="0" fontId="4" fillId="5" borderId="32" xfId="0" applyFont="1" applyFill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hidden="1"/>
    </xf>
    <xf numFmtId="0" fontId="14" fillId="5" borderId="19" xfId="0" applyFont="1" applyFill="1" applyBorder="1" applyAlignment="1" applyProtection="1">
      <alignment horizontal="left" vertical="center"/>
      <protection locked="0"/>
    </xf>
    <xf numFmtId="0" fontId="4" fillId="5" borderId="26" xfId="0" applyFont="1" applyFill="1" applyBorder="1" applyAlignment="1" applyProtection="1">
      <alignment horizontal="left" vertical="center"/>
      <protection locked="0"/>
    </xf>
    <xf numFmtId="164" fontId="4" fillId="5" borderId="34" xfId="0" applyNumberFormat="1" applyFont="1" applyFill="1" applyBorder="1" applyAlignment="1">
      <alignment horizontal="left" vertical="center"/>
    </xf>
    <xf numFmtId="164" fontId="4" fillId="5" borderId="20" xfId="0" applyNumberFormat="1" applyFont="1" applyFill="1" applyBorder="1" applyAlignment="1">
      <alignment horizontal="left" vertical="center"/>
    </xf>
    <xf numFmtId="164" fontId="4" fillId="5" borderId="24" xfId="0" applyNumberFormat="1" applyFont="1" applyFill="1" applyBorder="1" applyAlignment="1">
      <alignment horizontal="left" vertical="center"/>
    </xf>
    <xf numFmtId="0" fontId="4" fillId="0" borderId="2" xfId="0" applyFont="1" applyBorder="1" applyAlignment="1" applyProtection="1">
      <alignment horizontal="right" vertical="center"/>
      <protection hidden="1"/>
    </xf>
    <xf numFmtId="0" fontId="4" fillId="5" borderId="26" xfId="0" applyFont="1" applyFill="1" applyBorder="1" applyAlignment="1" applyProtection="1">
      <alignment vertical="center"/>
      <protection locked="0"/>
    </xf>
    <xf numFmtId="0" fontId="4" fillId="5" borderId="22" xfId="0" applyFont="1" applyFill="1" applyBorder="1" applyAlignment="1" applyProtection="1">
      <alignment vertical="center"/>
      <protection locked="0"/>
    </xf>
    <xf numFmtId="5" fontId="4" fillId="0" borderId="3" xfId="0" applyNumberFormat="1" applyFont="1" applyBorder="1" applyAlignment="1" applyProtection="1">
      <alignment vertical="center"/>
      <protection hidden="1"/>
    </xf>
    <xf numFmtId="0" fontId="6" fillId="0" borderId="0" xfId="0" applyFont="1" applyAlignment="1">
      <alignment horizontal="left" vertical="top" wrapText="1"/>
    </xf>
    <xf numFmtId="164" fontId="4" fillId="5" borderId="16" xfId="0" applyNumberFormat="1" applyFont="1" applyFill="1" applyBorder="1" applyAlignment="1" applyProtection="1">
      <alignment horizontal="center" vertical="center"/>
      <protection locked="0"/>
    </xf>
    <xf numFmtId="164" fontId="4" fillId="5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center"/>
      <protection hidden="1"/>
    </xf>
    <xf numFmtId="169" fontId="12" fillId="0" borderId="0" xfId="0" applyNumberFormat="1" applyFont="1" applyAlignment="1" applyProtection="1">
      <alignment vertical="center"/>
      <protection hidden="1"/>
    </xf>
    <xf numFmtId="1" fontId="2" fillId="0" borderId="0" xfId="0" applyNumberFormat="1" applyFont="1" applyAlignment="1" applyProtection="1">
      <alignment vertical="center"/>
      <protection hidden="1"/>
    </xf>
    <xf numFmtId="0" fontId="0" fillId="0" borderId="0" xfId="0" applyAlignment="1" applyProtection="1">
      <alignment horizontal="left"/>
      <protection hidden="1"/>
    </xf>
    <xf numFmtId="0" fontId="4" fillId="0" borderId="5" xfId="0" applyFont="1" applyBorder="1" applyAlignment="1" applyProtection="1">
      <alignment horizontal="right" vertical="center"/>
      <protection hidden="1"/>
    </xf>
    <xf numFmtId="0" fontId="4" fillId="0" borderId="4" xfId="0" applyFont="1" applyBorder="1" applyAlignment="1">
      <alignment vertical="center"/>
    </xf>
    <xf numFmtId="0" fontId="4" fillId="6" borderId="5" xfId="0" applyFont="1" applyFill="1" applyBorder="1" applyAlignment="1" applyProtection="1">
      <alignment horizontal="right" vertical="center"/>
      <protection hidden="1"/>
    </xf>
    <xf numFmtId="0" fontId="4" fillId="0" borderId="10" xfId="0" applyFont="1" applyBorder="1" applyAlignment="1">
      <alignment vertical="center"/>
    </xf>
    <xf numFmtId="168" fontId="22" fillId="8" borderId="0" xfId="0" applyNumberFormat="1" applyFont="1" applyFill="1"/>
    <xf numFmtId="165" fontId="4" fillId="0" borderId="31" xfId="0" applyNumberFormat="1" applyFont="1" applyBorder="1" applyAlignment="1">
      <alignment vertical="center"/>
    </xf>
    <xf numFmtId="165" fontId="4" fillId="0" borderId="30" xfId="0" applyNumberFormat="1" applyFont="1" applyBorder="1" applyAlignment="1">
      <alignment vertical="center"/>
    </xf>
    <xf numFmtId="0" fontId="4" fillId="0" borderId="10" xfId="0" applyFont="1" applyBorder="1" applyAlignment="1" applyProtection="1">
      <alignment horizontal="left" vertical="center"/>
      <protection hidden="1"/>
    </xf>
    <xf numFmtId="0" fontId="4" fillId="0" borderId="10" xfId="0" applyFont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vertical="center"/>
      <protection hidden="1"/>
    </xf>
    <xf numFmtId="0" fontId="4" fillId="3" borderId="4" xfId="0" applyFont="1" applyFill="1" applyBorder="1" applyAlignment="1" applyProtection="1">
      <alignment vertical="center"/>
      <protection hidden="1"/>
    </xf>
    <xf numFmtId="0" fontId="4" fillId="3" borderId="4" xfId="0" applyFont="1" applyFill="1" applyBorder="1" applyAlignment="1">
      <alignment vertical="center"/>
    </xf>
    <xf numFmtId="0" fontId="5" fillId="3" borderId="5" xfId="0" applyFont="1" applyFill="1" applyBorder="1" applyAlignment="1" applyProtection="1">
      <alignment horizontal="right" vertical="center"/>
      <protection hidden="1"/>
    </xf>
    <xf numFmtId="165" fontId="5" fillId="0" borderId="1" xfId="0" applyNumberFormat="1" applyFont="1" applyBorder="1" applyAlignment="1" applyProtection="1">
      <alignment vertical="center"/>
      <protection hidden="1"/>
    </xf>
    <xf numFmtId="0" fontId="4" fillId="0" borderId="11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16" fillId="3" borderId="4" xfId="0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right" vertical="center"/>
    </xf>
    <xf numFmtId="0" fontId="6" fillId="0" borderId="10" xfId="0" applyFont="1" applyBorder="1" applyAlignment="1" applyProtection="1">
      <alignment vertical="center"/>
      <protection hidden="1"/>
    </xf>
    <xf numFmtId="0" fontId="5" fillId="3" borderId="4" xfId="0" applyFont="1" applyFill="1" applyBorder="1" applyAlignment="1" applyProtection="1">
      <alignment vertical="center"/>
      <protection hidden="1"/>
    </xf>
    <xf numFmtId="165" fontId="5" fillId="3" borderId="4" xfId="0" applyNumberFormat="1" applyFont="1" applyFill="1" applyBorder="1" applyAlignment="1" applyProtection="1">
      <alignment horizontal="center" vertical="center"/>
      <protection hidden="1"/>
    </xf>
    <xf numFmtId="0" fontId="5" fillId="3" borderId="4" xfId="0" applyFont="1" applyFill="1" applyBorder="1" applyAlignment="1" applyProtection="1">
      <alignment horizontal="center" vertical="center"/>
      <protection hidden="1"/>
    </xf>
    <xf numFmtId="165" fontId="5" fillId="0" borderId="5" xfId="0" applyNumberFormat="1" applyFont="1" applyBorder="1" applyAlignment="1" applyProtection="1">
      <alignment vertical="center"/>
      <protection hidden="1"/>
    </xf>
    <xf numFmtId="165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4" fillId="0" borderId="28" xfId="0" applyFont="1" applyBorder="1" applyAlignment="1" applyProtection="1">
      <alignment vertical="center"/>
      <protection hidden="1"/>
    </xf>
    <xf numFmtId="165" fontId="4" fillId="0" borderId="0" xfId="0" applyNumberFormat="1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165" fontId="23" fillId="0" borderId="0" xfId="0" applyNumberFormat="1" applyFont="1" applyAlignment="1" applyProtection="1">
      <alignment vertical="center"/>
      <protection hidden="1"/>
    </xf>
    <xf numFmtId="0" fontId="13" fillId="7" borderId="0" xfId="0" applyFont="1" applyFill="1" applyAlignment="1" applyProtection="1">
      <alignment vertical="center"/>
      <protection hidden="1"/>
    </xf>
    <xf numFmtId="0" fontId="13" fillId="7" borderId="0" xfId="0" applyFont="1" applyFill="1"/>
    <xf numFmtId="0" fontId="2" fillId="0" borderId="0" xfId="0" applyFont="1" applyAlignment="1" applyProtection="1">
      <alignment vertical="top" wrapText="1"/>
      <protection hidden="1"/>
    </xf>
    <xf numFmtId="164" fontId="0" fillId="0" borderId="0" xfId="0" applyNumberForma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/>
      <protection hidden="1"/>
    </xf>
    <xf numFmtId="166" fontId="0" fillId="0" borderId="0" xfId="1" applyNumberFormat="1" applyFont="1" applyFill="1"/>
    <xf numFmtId="0" fontId="1" fillId="0" borderId="0" xfId="3" applyFill="1"/>
    <xf numFmtId="166" fontId="1" fillId="0" borderId="0" xfId="3" applyNumberFormat="1" applyFill="1"/>
    <xf numFmtId="0" fontId="0" fillId="0" borderId="14" xfId="0" applyBorder="1" applyAlignment="1" applyProtection="1">
      <alignment horizontal="left" vertical="center"/>
      <protection hidden="1"/>
    </xf>
    <xf numFmtId="2" fontId="0" fillId="0" borderId="0" xfId="0" applyNumberFormat="1" applyAlignment="1" applyProtection="1">
      <alignment horizontal="left" vertical="center"/>
      <protection hidden="1"/>
    </xf>
    <xf numFmtId="1" fontId="4" fillId="0" borderId="0" xfId="0" applyNumberFormat="1" applyFont="1" applyAlignment="1" applyProtection="1">
      <alignment horizontal="center" vertical="center"/>
      <protection hidden="1"/>
    </xf>
    <xf numFmtId="10" fontId="4" fillId="0" borderId="0" xfId="0" applyNumberFormat="1" applyFont="1" applyAlignment="1" applyProtection="1">
      <alignment horizontal="center" vertical="center"/>
      <protection hidden="1"/>
    </xf>
    <xf numFmtId="3" fontId="0" fillId="0" borderId="37" xfId="0" applyNumberFormat="1" applyBorder="1" applyAlignment="1" applyProtection="1">
      <alignment vertical="center"/>
      <protection hidden="1"/>
    </xf>
    <xf numFmtId="0" fontId="25" fillId="0" borderId="0" xfId="0" applyFont="1" applyAlignment="1" applyProtection="1">
      <alignment vertical="center"/>
      <protection hidden="1"/>
    </xf>
    <xf numFmtId="169" fontId="12" fillId="0" borderId="0" xfId="0" applyNumberFormat="1" applyFont="1" applyAlignment="1">
      <alignment vertical="center"/>
    </xf>
    <xf numFmtId="9" fontId="0" fillId="0" borderId="0" xfId="0" applyNumberFormat="1" applyAlignment="1" applyProtection="1">
      <alignment horizontal="left" vertical="top"/>
      <protection hidden="1"/>
    </xf>
    <xf numFmtId="0" fontId="0" fillId="11" borderId="44" xfId="0" applyFill="1" applyBorder="1" applyAlignment="1">
      <alignment horizontal="left"/>
    </xf>
    <xf numFmtId="0" fontId="0" fillId="11" borderId="44" xfId="0" applyFill="1" applyBorder="1"/>
    <xf numFmtId="0" fontId="0" fillId="0" borderId="44" xfId="0" applyBorder="1" applyAlignment="1">
      <alignment horizontal="left"/>
    </xf>
    <xf numFmtId="0" fontId="0" fillId="0" borderId="44" xfId="0" applyBorder="1"/>
    <xf numFmtId="0" fontId="13" fillId="7" borderId="42" xfId="0" applyFont="1" applyFill="1" applyBorder="1" applyAlignment="1">
      <alignment horizontal="left"/>
    </xf>
    <xf numFmtId="0" fontId="4" fillId="6" borderId="4" xfId="0" applyFont="1" applyFill="1" applyBorder="1" applyAlignment="1" applyProtection="1">
      <alignment horizontal="right" vertical="center"/>
      <protection hidden="1"/>
    </xf>
    <xf numFmtId="165" fontId="4" fillId="0" borderId="5" xfId="0" applyNumberFormat="1" applyFont="1" applyBorder="1" applyAlignment="1" applyProtection="1">
      <alignment vertical="center"/>
      <protection hidden="1"/>
    </xf>
    <xf numFmtId="0" fontId="13" fillId="7" borderId="44" xfId="0" applyFont="1" applyFill="1" applyBorder="1"/>
    <xf numFmtId="0" fontId="15" fillId="0" borderId="0" xfId="0" applyFont="1" applyAlignment="1" applyProtection="1">
      <alignment vertical="top"/>
      <protection hidden="1"/>
    </xf>
    <xf numFmtId="165" fontId="0" fillId="0" borderId="0" xfId="0" applyNumberFormat="1" applyProtection="1">
      <protection hidden="1"/>
    </xf>
    <xf numFmtId="165" fontId="23" fillId="5" borderId="30" xfId="0" applyNumberFormat="1" applyFont="1" applyFill="1" applyBorder="1" applyAlignment="1" applyProtection="1">
      <alignment horizontal="left" vertical="center"/>
      <protection locked="0"/>
    </xf>
    <xf numFmtId="49" fontId="23" fillId="5" borderId="30" xfId="0" applyNumberFormat="1" applyFont="1" applyFill="1" applyBorder="1" applyAlignment="1" applyProtection="1">
      <alignment horizontal="left" vertical="center"/>
      <protection locked="0"/>
    </xf>
    <xf numFmtId="49" fontId="23" fillId="5" borderId="30" xfId="0" applyNumberFormat="1" applyFont="1" applyFill="1" applyBorder="1" applyAlignment="1" applyProtection="1">
      <alignment vertical="center"/>
      <protection locked="0"/>
    </xf>
    <xf numFmtId="165" fontId="4" fillId="0" borderId="1" xfId="0" applyNumberFormat="1" applyFont="1" applyBorder="1" applyAlignment="1" applyProtection="1">
      <alignment horizontal="left" vertical="center"/>
      <protection locked="0"/>
    </xf>
    <xf numFmtId="49" fontId="4" fillId="0" borderId="1" xfId="0" applyNumberFormat="1" applyFont="1" applyBorder="1" applyAlignment="1" applyProtection="1">
      <alignment horizontal="left" vertical="center"/>
      <protection locked="0"/>
    </xf>
    <xf numFmtId="49" fontId="4" fillId="0" borderId="1" xfId="0" applyNumberFormat="1" applyFont="1" applyBorder="1" applyAlignment="1" applyProtection="1">
      <alignment vertical="center"/>
      <protection locked="0"/>
    </xf>
    <xf numFmtId="165" fontId="23" fillId="5" borderId="31" xfId="0" applyNumberFormat="1" applyFont="1" applyFill="1" applyBorder="1" applyAlignment="1" applyProtection="1">
      <alignment horizontal="left" vertical="center"/>
      <protection locked="0"/>
    </xf>
    <xf numFmtId="49" fontId="23" fillId="5" borderId="31" xfId="0" applyNumberFormat="1" applyFont="1" applyFill="1" applyBorder="1" applyAlignment="1" applyProtection="1">
      <alignment horizontal="left" vertical="center"/>
      <protection locked="0"/>
    </xf>
    <xf numFmtId="49" fontId="23" fillId="5" borderId="31" xfId="0" applyNumberFormat="1" applyFont="1" applyFill="1" applyBorder="1" applyAlignment="1" applyProtection="1">
      <alignment vertical="center"/>
      <protection locked="0"/>
    </xf>
    <xf numFmtId="165" fontId="23" fillId="5" borderId="45" xfId="0" applyNumberFormat="1" applyFont="1" applyFill="1" applyBorder="1" applyAlignment="1" applyProtection="1">
      <alignment horizontal="left" vertical="center"/>
      <protection locked="0"/>
    </xf>
    <xf numFmtId="49" fontId="23" fillId="5" borderId="45" xfId="0" applyNumberFormat="1" applyFont="1" applyFill="1" applyBorder="1" applyAlignment="1" applyProtection="1">
      <alignment horizontal="left" vertical="center"/>
      <protection locked="0"/>
    </xf>
    <xf numFmtId="49" fontId="23" fillId="5" borderId="45" xfId="0" applyNumberFormat="1" applyFont="1" applyFill="1" applyBorder="1" applyAlignment="1" applyProtection="1">
      <alignment vertic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5" fontId="5" fillId="0" borderId="1" xfId="0" applyNumberFormat="1" applyFont="1" applyBorder="1" applyAlignment="1" applyProtection="1">
      <alignment horizontal="left" vertical="center"/>
      <protection locked="0"/>
    </xf>
    <xf numFmtId="165" fontId="5" fillId="0" borderId="1" xfId="0" applyNumberFormat="1" applyFont="1" applyBorder="1" applyAlignment="1">
      <alignment horizontal="left"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3" borderId="5" xfId="0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>
      <alignment vertical="center"/>
    </xf>
    <xf numFmtId="165" fontId="23" fillId="12" borderId="1" xfId="0" applyNumberFormat="1" applyFont="1" applyFill="1" applyBorder="1" applyAlignment="1">
      <alignment horizontal="left" vertical="center"/>
    </xf>
    <xf numFmtId="49" fontId="23" fillId="12" borderId="1" xfId="0" applyNumberFormat="1" applyFont="1" applyFill="1" applyBorder="1" applyAlignment="1" applyProtection="1">
      <alignment horizontal="left" vertical="center"/>
      <protection locked="0"/>
    </xf>
    <xf numFmtId="49" fontId="23" fillId="12" borderId="1" xfId="0" applyNumberFormat="1" applyFont="1" applyFill="1" applyBorder="1" applyAlignment="1" applyProtection="1">
      <alignment vertical="center"/>
      <protection locked="0"/>
    </xf>
    <xf numFmtId="165" fontId="4" fillId="0" borderId="1" xfId="0" applyNumberFormat="1" applyFont="1" applyBorder="1" applyAlignment="1">
      <alignment horizontal="left" vertical="center"/>
    </xf>
    <xf numFmtId="0" fontId="4" fillId="0" borderId="5" xfId="0" applyFont="1" applyBorder="1"/>
    <xf numFmtId="0" fontId="4" fillId="0" borderId="4" xfId="0" applyFont="1" applyBorder="1"/>
    <xf numFmtId="0" fontId="4" fillId="0" borderId="1" xfId="0" applyFont="1" applyBorder="1"/>
    <xf numFmtId="0" fontId="5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6" borderId="1" xfId="0" applyFont="1" applyFill="1" applyBorder="1" applyAlignment="1">
      <alignment horizontal="left" vertical="center"/>
    </xf>
    <xf numFmtId="49" fontId="5" fillId="6" borderId="5" xfId="0" applyNumberFormat="1" applyFont="1" applyFill="1" applyBorder="1" applyAlignment="1">
      <alignment horizontal="left" vertical="center"/>
    </xf>
    <xf numFmtId="49" fontId="5" fillId="6" borderId="5" xfId="0" applyNumberFormat="1" applyFont="1" applyFill="1" applyBorder="1" applyAlignment="1">
      <alignment vertical="center"/>
    </xf>
    <xf numFmtId="3" fontId="0" fillId="0" borderId="0" xfId="0" applyNumberFormat="1" applyProtection="1">
      <protection hidden="1"/>
    </xf>
    <xf numFmtId="22" fontId="0" fillId="0" borderId="0" xfId="0" applyNumberFormat="1" applyAlignment="1" applyProtection="1">
      <alignment horizontal="left" vertical="center"/>
      <protection hidden="1"/>
    </xf>
    <xf numFmtId="165" fontId="4" fillId="0" borderId="3" xfId="0" applyNumberFormat="1" applyFont="1" applyBorder="1" applyAlignment="1" applyProtection="1">
      <alignment horizontal="left" vertical="center"/>
      <protection locked="0"/>
    </xf>
    <xf numFmtId="49" fontId="4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hidden="1"/>
    </xf>
    <xf numFmtId="0" fontId="4" fillId="3" borderId="8" xfId="0" applyFont="1" applyFill="1" applyBorder="1" applyAlignment="1" applyProtection="1">
      <alignment vertical="center"/>
      <protection hidden="1"/>
    </xf>
    <xf numFmtId="0" fontId="5" fillId="3" borderId="6" xfId="0" applyFont="1" applyFill="1" applyBorder="1" applyAlignment="1" applyProtection="1">
      <alignment horizontal="right" vertical="center"/>
      <protection hidden="1"/>
    </xf>
    <xf numFmtId="0" fontId="4" fillId="5" borderId="46" xfId="0" applyFont="1" applyFill="1" applyBorder="1" applyAlignment="1" applyProtection="1">
      <alignment horizontal="left" vertical="center"/>
      <protection locked="0"/>
    </xf>
    <xf numFmtId="0" fontId="4" fillId="5" borderId="47" xfId="0" applyFont="1" applyFill="1" applyBorder="1" applyAlignment="1" applyProtection="1">
      <alignment horizontal="left" vertical="center"/>
      <protection locked="0"/>
    </xf>
    <xf numFmtId="165" fontId="4" fillId="5" borderId="48" xfId="0" applyNumberFormat="1" applyFont="1" applyFill="1" applyBorder="1" applyAlignment="1" applyProtection="1">
      <alignment vertical="center"/>
      <protection locked="0"/>
    </xf>
    <xf numFmtId="165" fontId="4" fillId="6" borderId="7" xfId="0" applyNumberFormat="1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13" borderId="27" xfId="0" applyFont="1" applyFill="1" applyBorder="1" applyAlignment="1">
      <alignment vertical="center"/>
    </xf>
    <xf numFmtId="0" fontId="4" fillId="13" borderId="21" xfId="0" applyFont="1" applyFill="1" applyBorder="1" applyAlignment="1">
      <alignment vertical="center"/>
    </xf>
    <xf numFmtId="0" fontId="5" fillId="3" borderId="3" xfId="0" applyFont="1" applyFill="1" applyBorder="1" applyAlignment="1" applyProtection="1">
      <alignment vertical="top"/>
      <protection hidden="1"/>
    </xf>
    <xf numFmtId="0" fontId="4" fillId="5" borderId="3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4" fillId="5" borderId="5" xfId="0" applyFont="1" applyFill="1" applyBorder="1" applyAlignment="1" applyProtection="1">
      <alignment horizontal="center" vertical="top" wrapText="1"/>
      <protection locked="0"/>
    </xf>
    <xf numFmtId="165" fontId="4" fillId="0" borderId="49" xfId="0" applyNumberFormat="1" applyFont="1" applyBorder="1" applyAlignment="1" applyProtection="1">
      <alignment vertical="center"/>
      <protection hidden="1"/>
    </xf>
    <xf numFmtId="165" fontId="4" fillId="0" borderId="50" xfId="0" applyNumberFormat="1" applyFont="1" applyBorder="1" applyAlignment="1" applyProtection="1">
      <alignment vertical="center"/>
      <protection hidden="1"/>
    </xf>
    <xf numFmtId="0" fontId="4" fillId="5" borderId="52" xfId="0" applyFont="1" applyFill="1" applyBorder="1" applyAlignment="1" applyProtection="1">
      <alignment vertical="center"/>
      <protection locked="0"/>
    </xf>
    <xf numFmtId="0" fontId="4" fillId="0" borderId="21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5" borderId="53" xfId="0" applyFont="1" applyFill="1" applyBorder="1" applyAlignment="1" applyProtection="1">
      <alignment vertical="center"/>
      <protection locked="0"/>
    </xf>
    <xf numFmtId="0" fontId="4" fillId="5" borderId="54" xfId="0" applyFont="1" applyFill="1" applyBorder="1" applyAlignment="1" applyProtection="1">
      <alignment vertical="center"/>
      <protection locked="0"/>
    </xf>
    <xf numFmtId="0" fontId="4" fillId="5" borderId="51" xfId="0" applyFont="1" applyFill="1" applyBorder="1" applyAlignment="1" applyProtection="1">
      <alignment horizontal="left" vertical="center"/>
      <protection locked="0"/>
    </xf>
    <xf numFmtId="0" fontId="27" fillId="0" borderId="0" xfId="0" applyFont="1"/>
    <xf numFmtId="0" fontId="23" fillId="0" borderId="39" xfId="0" applyFont="1" applyBorder="1" applyAlignment="1" applyProtection="1">
      <alignment vertical="center"/>
      <protection hidden="1"/>
    </xf>
    <xf numFmtId="0" fontId="23" fillId="0" borderId="28" xfId="0" applyFont="1" applyBorder="1" applyAlignment="1" applyProtection="1">
      <alignment vertical="center"/>
      <protection hidden="1"/>
    </xf>
    <xf numFmtId="0" fontId="26" fillId="4" borderId="0" xfId="0" applyFont="1" applyFill="1" applyAlignment="1">
      <alignment horizontal="left" vertical="top" wrapText="1"/>
    </xf>
    <xf numFmtId="0" fontId="5" fillId="3" borderId="3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9" fillId="0" borderId="10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5" borderId="3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4" fillId="5" borderId="5" xfId="0" applyFont="1" applyFill="1" applyBorder="1" applyAlignment="1" applyProtection="1">
      <alignment horizontal="center" vertical="top" wrapText="1"/>
      <protection locked="0"/>
    </xf>
    <xf numFmtId="0" fontId="4" fillId="5" borderId="3" xfId="0" applyFont="1" applyFill="1" applyBorder="1" applyAlignment="1" applyProtection="1">
      <alignment horizontal="left" vertical="center"/>
      <protection locked="0"/>
    </xf>
    <xf numFmtId="0" fontId="4" fillId="5" borderId="4" xfId="0" applyFont="1" applyFill="1" applyBorder="1" applyAlignment="1" applyProtection="1">
      <alignment horizontal="left" vertical="center"/>
      <protection locked="0"/>
    </xf>
    <xf numFmtId="0" fontId="4" fillId="5" borderId="5" xfId="0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3" fontId="4" fillId="0" borderId="3" xfId="0" applyNumberFormat="1" applyFont="1" applyBorder="1" applyAlignment="1">
      <alignment horizontal="left"/>
    </xf>
    <xf numFmtId="3" fontId="4" fillId="0" borderId="5" xfId="0" applyNumberFormat="1" applyFont="1" applyBorder="1" applyAlignment="1">
      <alignment horizontal="left"/>
    </xf>
    <xf numFmtId="14" fontId="4" fillId="0" borderId="3" xfId="0" applyNumberFormat="1" applyFont="1" applyBorder="1" applyAlignment="1">
      <alignment horizontal="left"/>
    </xf>
    <xf numFmtId="14" fontId="4" fillId="0" borderId="5" xfId="0" applyNumberFormat="1" applyFont="1" applyBorder="1" applyAlignment="1">
      <alignment horizontal="left"/>
    </xf>
    <xf numFmtId="1" fontId="4" fillId="0" borderId="3" xfId="0" applyNumberFormat="1" applyFont="1" applyBorder="1" applyAlignment="1">
      <alignment horizontal="left"/>
    </xf>
    <xf numFmtId="1" fontId="4" fillId="0" borderId="5" xfId="0" applyNumberFormat="1" applyFont="1" applyBorder="1" applyAlignment="1">
      <alignment horizontal="left"/>
    </xf>
  </cellXfs>
  <cellStyles count="4">
    <cellStyle name="20% - Accent5" xfId="3" builtinId="46"/>
    <cellStyle name="Hyperlink" xfId="2" builtinId="8"/>
    <cellStyle name="Procent" xfId="1" builtinId="5"/>
    <cellStyle name="Standaard" xfId="0" builtinId="0"/>
  </cellStyles>
  <dxfs count="367">
    <dxf>
      <font>
        <color theme="1"/>
      </font>
    </dxf>
    <dxf>
      <font>
        <color rgb="FFFF0000"/>
      </font>
    </dxf>
    <dxf>
      <fill>
        <patternFill>
          <bgColor rgb="FFCBDEDF"/>
        </patternFill>
      </fill>
    </dxf>
    <dxf>
      <font>
        <color rgb="FFFF0000"/>
      </font>
    </dxf>
    <dxf>
      <font>
        <b/>
        <i val="0"/>
        <color rgb="FFFF0000"/>
      </font>
      <fill>
        <patternFill patternType="solid">
          <bgColor theme="7" tint="0.79998168889431442"/>
        </patternFill>
      </fill>
    </dxf>
    <dxf>
      <fill>
        <patternFill>
          <bgColor rgb="FFCBDEDF"/>
        </patternFill>
      </fill>
    </dxf>
    <dxf>
      <font>
        <color theme="0"/>
      </font>
    </dxf>
    <dxf>
      <font>
        <color rgb="FFFF0000"/>
      </font>
    </dxf>
    <dxf>
      <numFmt numFmtId="165" formatCode="&quot;€&quot;\ #,##0"/>
      <protection locked="1" hidden="1"/>
    </dxf>
    <dxf>
      <numFmt numFmtId="165" formatCode="&quot;€&quot;\ #,##0"/>
      <protection locked="1" hidden="1"/>
    </dxf>
    <dxf>
      <numFmt numFmtId="0" formatCode="General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left" vertical="center" textRotation="0" wrapText="0" indent="0" justifyLastLine="0" shrinkToFit="0" readingOrder="0"/>
      <protection locked="1" hidden="1"/>
    </dxf>
    <dxf>
      <protection locked="1" hidden="1"/>
    </dxf>
    <dxf>
      <protection locked="1" hidden="1"/>
    </dxf>
    <dxf>
      <numFmt numFmtId="165" formatCode="&quot;€&quot;\ #,##0"/>
      <protection locked="1" hidden="1"/>
    </dxf>
    <dxf>
      <numFmt numFmtId="165" formatCode="&quot;€&quot;\ #,##0"/>
      <protection locked="1" hidden="1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protection locked="1" hidden="1"/>
    </dxf>
    <dxf>
      <protection locked="1" hidden="1"/>
    </dxf>
    <dxf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1" hidden="1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protection locked="1" hidden="1"/>
    </dxf>
    <dxf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</border>
    </dxf>
    <dxf>
      <protection locked="1" hidden="1"/>
    </dxf>
    <dxf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0" indent="0" justifyLastLine="0" shrinkToFit="0" readingOrder="0"/>
      <protection locked="1" hidden="1"/>
    </dxf>
    <dxf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alignment horizontal="left" vertical="bottom" textRotation="0" wrapText="0" indent="0" justifyLastLine="0" shrinkToFit="0" readingOrder="0"/>
      <protection locked="1" hidden="1"/>
    </dxf>
    <dxf>
      <alignment horizontal="left" vertical="bottom" textRotation="0" wrapText="0" indent="0" justifyLastLine="0" shrinkToFit="0" readingOrder="0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protection locked="1" hidden="1"/>
    </dxf>
    <dxf>
      <protection locked="1" hidden="1"/>
    </dxf>
    <dxf>
      <protection locked="1" hidden="1"/>
    </dxf>
    <dxf>
      <numFmt numFmtId="0" formatCode="General"/>
      <alignment horizontal="general" vertical="top" textRotation="0" wrapText="1" indent="0" justifyLastLine="0" shrinkToFit="0" readingOrder="0"/>
      <protection locked="1" hidden="1"/>
    </dxf>
    <dxf>
      <alignment horizontal="general" vertical="top" textRotation="0" wrapText="1" indent="0" justifyLastLine="0" shrinkToFit="0" readingOrder="0"/>
      <protection locked="1" hidden="1"/>
    </dxf>
    <dxf>
      <alignment horizontal="general" vertical="top" textRotation="0" wrapText="1" indent="0" justifyLastLine="0" shrinkToFit="0" readingOrder="0"/>
      <protection locked="1" hidden="1"/>
    </dxf>
    <dxf>
      <alignment horizontal="general" vertical="top" textRotation="0" wrapText="1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hair">
          <color auto="1"/>
        </top>
        <bottom style="hair">
          <color auto="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13568"/>
        <name val="Calibri"/>
        <scheme val="minor"/>
      </font>
      <numFmt numFmtId="0" formatCode="General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13568"/>
        <name val="Calibri"/>
        <scheme val="minor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1" hidden="1"/>
    </dxf>
    <dxf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theme="4" tint="0.39997558519241921"/>
        </top>
        <bottom/>
      </border>
      <protection locked="1" hidden="1"/>
    </dxf>
    <dxf>
      <border outline="0">
        <top style="thin">
          <color theme="4" tint="0.39997558519241921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1" hidden="1"/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1" hidden="1"/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1" hidden="1"/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hair">
          <color auto="1"/>
        </top>
        <bottom style="hair">
          <color auto="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&quot;€&quot;\ 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&quot;€&quot;\ #,##0"/>
      <fill>
        <patternFill patternType="solid">
          <fgColor indexed="64"/>
          <bgColor rgb="FFCBDED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thin">
          <color indexed="64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CBDEDF"/>
        </patternFill>
      </fill>
      <alignment horizontal="general" vertical="center" textRotation="0" wrapText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CBDEDF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CBDEDF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CBDEDF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CBDEDF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&quot;€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 style="hair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thin">
          <color indexed="64"/>
        </right>
        <top style="hair">
          <color auto="1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€&quot;\ #,##0.00"/>
      <fill>
        <patternFill patternType="solid">
          <fgColor indexed="64"/>
          <bgColor rgb="FFCBDEDF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solid">
          <fgColor indexed="64"/>
          <bgColor rgb="FFCBDEDF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auto="1"/>
        </right>
        <top style="hair">
          <color auto="1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hair">
          <color auto="1"/>
        </right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 style="hair">
          <color auto="1"/>
        </horizontal>
      </border>
      <protection locked="0" hidden="0"/>
    </dxf>
    <dxf>
      <protection locked="1" hidden="1"/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&quot;€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diagonalUp="0" diagonalDown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solid">
          <fgColor indexed="64"/>
          <bgColor rgb="FFCBDEDF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solid">
          <fgColor indexed="64"/>
          <bgColor rgb="FFCBDEDF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solid">
          <fgColor indexed="64"/>
          <bgColor rgb="FFCBDEDF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solid">
          <fgColor indexed="64"/>
          <bgColor rgb="FFCBDEDF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  <protection locked="0" hidden="0"/>
    </dxf>
    <dxf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&quot;€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solid">
          <fgColor indexed="64"/>
          <bgColor rgb="FFCBDED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thin">
          <color indexed="64"/>
        </right>
        <top style="hair">
          <color auto="1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auto="1"/>
        </top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general" vertical="center" textRotation="0" wrapText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sz val="10"/>
      </font>
      <fill>
        <patternFill patternType="solid">
          <fgColor indexed="64"/>
          <bgColor rgb="FFCBDEDF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sz val="10"/>
      </font>
      <fill>
        <patternFill patternType="solid">
          <fgColor indexed="64"/>
          <bgColor rgb="FFCBDEDF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sz val="10"/>
      </font>
      <fill>
        <patternFill patternType="solid">
          <fgColor indexed="64"/>
          <bgColor rgb="FFCBDEDF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CBDEDF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/>
        <vertical/>
        <horizontal/>
      </border>
      <protection locked="0" hidden="0"/>
    </dxf>
    <dxf>
      <protection locked="1" hidden="1"/>
    </dxf>
    <dxf>
      <border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general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&quot;€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solid">
          <fgColor indexed="64"/>
          <bgColor rgb="FFCBDED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/>
        <vertical/>
        <horizontal/>
      </border>
      <protection locked="0" hidden="0"/>
    </dxf>
    <dxf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9" formatCode="&quot;€&quot;\ #,##0;&quot;€&quot;\ \-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auto="1"/>
        </left>
        <right style="thin">
          <color indexed="64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€&quot;\ #,##0.00"/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€&quot;\ #,##0.00"/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solid">
          <fgColor indexed="64"/>
          <bgColor rgb="FFCBDEDF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ED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  <protection locked="0" hidden="0"/>
    </dxf>
    <dxf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&quot;€&quot;\ 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auto="1"/>
        </top>
        <bottom style="hair">
          <color auto="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auto="1"/>
        </top>
        <bottom style="hair">
          <color auto="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numFmt numFmtId="3" formatCode="#,##0"/>
      <fill>
        <patternFill patternType="solid">
          <fgColor indexed="64"/>
          <bgColor rgb="FFCBDEDF"/>
        </patternFill>
      </fill>
      <border diagonalUp="0" diagonalDown="0" outline="0">
        <left style="hair">
          <color auto="1"/>
        </left>
        <right/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1" hidden="1"/>
    </dxf>
    <dxf>
      <numFmt numFmtId="3" formatCode="#,##0"/>
      <fill>
        <patternFill patternType="none">
          <fgColor indexed="64"/>
          <bgColor auto="1"/>
        </patternFill>
      </fill>
      <border diagonalUp="0" diagonalDown="0">
        <left style="hair">
          <color auto="1"/>
        </left>
        <right/>
        <top style="hair">
          <color indexed="64"/>
        </top>
        <bottom style="hair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1" hidden="1"/>
    </dxf>
    <dxf>
      <numFmt numFmtId="4" formatCode="#,##0.00"/>
      <fill>
        <patternFill patternType="none">
          <fgColor indexed="64"/>
          <bgColor auto="1"/>
        </patternFill>
      </fill>
      <border diagonalUp="0" diagonalDown="0">
        <left style="hair">
          <color auto="1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1" hidden="1"/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1" hidden="1"/>
    </dxf>
    <dxf>
      <protection locked="1" hidden="1"/>
    </dxf>
    <dxf>
      <border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&quot;€&quot;\ 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&quot;€&quot;\ #,##0"/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 style="hair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thin">
          <color indexed="64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z val="10"/>
      </font>
      <numFmt numFmtId="0" formatCode="General"/>
      <fill>
        <patternFill patternType="solid">
          <fgColor indexed="64"/>
          <bgColor rgb="FFCBDEDF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z val="10"/>
      </font>
      <numFmt numFmtId="165" formatCode="&quot;€&quot;\ 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BDFDE"/>
        </patternFill>
      </fill>
      <alignment horizontal="general" vertical="center" textRotation="0" wrapText="0" indent="0" justifyLastLine="0" shrinkToFit="0" readingOrder="0"/>
      <border diagonalUp="0" diagonalDown="0">
        <left/>
        <right style="hair">
          <color auto="1"/>
        </right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>
        <top style="thin">
          <color indexed="64"/>
        </top>
      </border>
    </dxf>
    <dxf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8080"/>
      <color rgb="FFCBDEDF"/>
      <color rgb="FFCBDFDE"/>
      <color rgb="FFFFFFFF"/>
      <color rgb="FFCBE8E9"/>
      <color rgb="FFEA6B14"/>
      <color rgb="FFBCE5F2"/>
      <color rgb="FF7ECDE6"/>
      <color rgb="FF18657C"/>
      <color rgb="FFB7D2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0</xdr:row>
      <xdr:rowOff>1012582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8650" cy="10179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618490</xdr:colOff>
      <xdr:row>0</xdr:row>
      <xdr:rowOff>1008772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890F1E2-2D12-4992-A4C3-D1DBF5830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1665" cy="10087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15119</xdr:rowOff>
    </xdr:from>
    <xdr:to>
      <xdr:col>13</xdr:col>
      <xdr:colOff>28035</xdr:colOff>
      <xdr:row>63</xdr:row>
      <xdr:rowOff>21771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6EFF2C9-5A6D-46ED-B08F-A8366D49A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381119"/>
          <a:ext cx="7949660" cy="41722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139701</xdr:rowOff>
    </xdr:from>
    <xdr:to>
      <xdr:col>13</xdr:col>
      <xdr:colOff>12585</xdr:colOff>
      <xdr:row>40</xdr:row>
      <xdr:rowOff>173567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04CF1D4-BB58-46D1-93F3-7E0FAB84D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92151"/>
          <a:ext cx="7934210" cy="6726766"/>
        </a:xfrm>
        <a:prstGeom prst="rect">
          <a:avLst/>
        </a:prstGeom>
      </xdr:spPr>
    </xdr:pic>
    <xdr:clientData/>
  </xdr:twoCellAnchor>
  <xdr:twoCellAnchor editAs="oneCell">
    <xdr:from>
      <xdr:col>13</xdr:col>
      <xdr:colOff>605690</xdr:colOff>
      <xdr:row>4</xdr:row>
      <xdr:rowOff>-1</xdr:rowOff>
    </xdr:from>
    <xdr:to>
      <xdr:col>27</xdr:col>
      <xdr:colOff>27989</xdr:colOff>
      <xdr:row>49</xdr:row>
      <xdr:rowOff>134572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C017FE0-1F9D-42DE-B4A3-7FBBA10DC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30490" y="736599"/>
          <a:ext cx="7956699" cy="8278448"/>
        </a:xfrm>
        <a:prstGeom prst="rect">
          <a:avLst/>
        </a:prstGeom>
      </xdr:spPr>
    </xdr:pic>
    <xdr:clientData/>
  </xdr:twoCellAnchor>
  <xdr:twoCellAnchor editAs="oneCell">
    <xdr:from>
      <xdr:col>13</xdr:col>
      <xdr:colOff>595921</xdr:colOff>
      <xdr:row>90</xdr:row>
      <xdr:rowOff>19538</xdr:rowOff>
    </xdr:from>
    <xdr:to>
      <xdr:col>27</xdr:col>
      <xdr:colOff>9768</xdr:colOff>
      <xdr:row>138</xdr:row>
      <xdr:rowOff>73101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B889684-65E8-4D39-8877-40E6D4B45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20721" y="16593038"/>
          <a:ext cx="7948247" cy="8740363"/>
        </a:xfrm>
        <a:prstGeom prst="rect">
          <a:avLst/>
        </a:prstGeom>
      </xdr:spPr>
    </xdr:pic>
    <xdr:clientData/>
  </xdr:twoCellAnchor>
  <xdr:twoCellAnchor editAs="oneCell">
    <xdr:from>
      <xdr:col>13</xdr:col>
      <xdr:colOff>605691</xdr:colOff>
      <xdr:row>48</xdr:row>
      <xdr:rowOff>185615</xdr:rowOff>
    </xdr:from>
    <xdr:to>
      <xdr:col>27</xdr:col>
      <xdr:colOff>7049</xdr:colOff>
      <xdr:row>91</xdr:row>
      <xdr:rowOff>17583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AE3BA291-4DC1-48D7-B47F-BDEADF984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30491" y="9024815"/>
          <a:ext cx="7942108" cy="761706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138</xdr:row>
      <xdr:rowOff>0</xdr:rowOff>
    </xdr:from>
    <xdr:to>
      <xdr:col>27</xdr:col>
      <xdr:colOff>11023</xdr:colOff>
      <xdr:row>169</xdr:row>
      <xdr:rowOff>2198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5501CFB-B21B-45B2-9CFF-1CA10D3BA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34400" y="25412700"/>
          <a:ext cx="7932648" cy="561242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Personnel" displayName="Personnel" ref="A17:H28" totalsRowCount="1" headerRowDxfId="366" totalsRowDxfId="363" headerRowBorderDxfId="365" tableBorderDxfId="364" totalsRowBorderDxfId="362">
  <autoFilter ref="A17:H27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0000000-0010-0000-0200-000001000000}" name="Category" totalsRowDxfId="361"/>
    <tableColumn id="7" xr3:uid="{00000000-0010-0000-0200-000007000000}" name="Kolom1" dataDxfId="360" totalsRowDxfId="359"/>
    <tableColumn id="2" xr3:uid="{00000000-0010-0000-0200-000002000000}" name="FTE" dataDxfId="358" totalsRowDxfId="357"/>
    <tableColumn id="3" xr3:uid="{00000000-0010-0000-0200-000003000000}" name="Months" dataDxfId="356" totalsRowDxfId="355"/>
    <tableColumn id="4" xr3:uid="{00000000-0010-0000-0200-000004000000}" name="Costs" totalsRowLabel="Sub total:" dataDxfId="354" totalsRowDxfId="353"/>
    <tableColumn id="5" xr3:uid="{00000000-0010-0000-0200-000005000000}" name="Organisation type" dataDxfId="352" totalsRowDxfId="351"/>
    <tableColumn id="8" xr3:uid="{00000000-0010-0000-0200-000008000000}" name="Name organisation" dataDxfId="350" totalsRowDxfId="349"/>
    <tableColumn id="6" xr3:uid="{00000000-0010-0000-0200-000006000000}" name="Amount" totalsRowFunction="custom" dataDxfId="348" totalsRowDxfId="347">
      <calculatedColumnFormula>IFERROR(IF(_xlfn.IFNA(HLOOKUP(TEXT(Personnel[[#This Row],[Months]],"@"),salaries_academic[#All],MATCH(Personnel[[#This Row],[Category]],salaries_academic[category],0)+1,FALSE),0)&gt;0,HLOOKUP(TEXT(Personnel[[#This Row],[Months]],"@"),salaries_academic[#All],MATCH(Personnel[[#This Row],[Category]],salaries_academic[category],0)+1,FALSE)*Personnel[[#This Row],[FTE]]*IF(ISBLANK(Personnel[[#This Row],[Kolom1]]),1,INDEX(CCC_table[CC],MATCH(Personnel[[#This Row],[Kolom1]],CCC_table[Code and Country],0),1)),IF(Personnel[[#This Row],[Costs]]&gt;0,Personnel[[#This Row],[Costs]],"")),"")</calculatedColumnFormula>
      <totalsRowFormula>SUM(Personnel[Amount])</totalsRowFormula>
    </tableColumn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17000000}" name="list_other" displayName="list_other" ref="E309:E318" totalsRowShown="0" headerRowDxfId="211" dataDxfId="210" tableBorderDxfId="209">
  <autoFilter ref="E309:E318" xr:uid="{00000000-0009-0000-0100-000009000000}"/>
  <tableColumns count="1">
    <tableColumn id="1" xr3:uid="{00000000-0010-0000-1700-000001000000}" name="list type institute - other institutes:" dataDxfId="20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8000000}" name="list_combined" displayName="list_combined" ref="G309:G328" totalsRowShown="0" headerRowDxfId="207" dataDxfId="206" tableBorderDxfId="205">
  <autoFilter ref="G309:G328" xr:uid="{00000000-0009-0000-0100-00000B000000}"/>
  <tableColumns count="1">
    <tableColumn id="1" xr3:uid="{00000000-0010-0000-1800-000001000000}" name="list type institute - combined:" dataDxfId="20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9000000}" name="list_cofunders" displayName="list_cofunders" ref="I309:J327" totalsRowShown="0" headerRowDxfId="203" dataDxfId="202" tableBorderDxfId="201">
  <autoFilter ref="I309:J327" xr:uid="{00000000-0009-0000-0100-00000C000000}"/>
  <tableColumns count="2">
    <tableColumn id="1" xr3:uid="{00000000-0010-0000-1900-000001000000}" name="list cofunders" dataDxfId="200"/>
    <tableColumn id="2" xr3:uid="{00000000-0010-0000-1900-000002000000}" name="private?" dataDxfId="199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A000000}" name="salaries_academic" displayName="salaries_academic" ref="A83:CV97" totalsRowShown="0" headerRowDxfId="198" dataDxfId="197" tableBorderDxfId="196">
  <autoFilter ref="A83:CV97" xr:uid="{00000000-0009-0000-0100-000001000000}">
    <filterColumn colId="0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  <filterColumn colId="70" hiddenButton="1"/>
    <filterColumn colId="71" hiddenButton="1"/>
    <filterColumn colId="72" hiddenButton="1"/>
    <filterColumn colId="73" hiddenButton="1"/>
    <filterColumn colId="74" hiddenButton="1"/>
    <filterColumn colId="75" hiddenButton="1"/>
    <filterColumn colId="76" hiddenButton="1"/>
    <filterColumn colId="77" hiddenButton="1"/>
    <filterColumn colId="78" hiddenButton="1"/>
    <filterColumn colId="79" hiddenButton="1"/>
    <filterColumn colId="80" hiddenButton="1"/>
    <filterColumn colId="81" hiddenButton="1"/>
    <filterColumn colId="82" hiddenButton="1"/>
    <filterColumn colId="83" hiddenButton="1"/>
    <filterColumn colId="84" hiddenButton="1"/>
    <filterColumn colId="85" hiddenButton="1"/>
    <filterColumn colId="86" hiddenButton="1"/>
    <filterColumn colId="87" hiddenButton="1"/>
    <filterColumn colId="88" hiddenButton="1"/>
    <filterColumn colId="89" hiddenButton="1"/>
    <filterColumn colId="90" hiddenButton="1"/>
    <filterColumn colId="91" hiddenButton="1"/>
    <filterColumn colId="92" hiddenButton="1"/>
    <filterColumn colId="93" hiddenButton="1"/>
    <filterColumn colId="94" hiddenButton="1"/>
    <filterColumn colId="95" hiddenButton="1"/>
    <filterColumn colId="96" hiddenButton="1"/>
    <filterColumn colId="97" hiddenButton="1"/>
    <filterColumn colId="98" hiddenButton="1"/>
    <filterColumn colId="99" hiddenButton="1"/>
  </autoFilter>
  <tableColumns count="100">
    <tableColumn id="1" xr3:uid="{00000000-0010-0000-1A00-000001000000}" name="category" dataDxfId="195"/>
    <tableColumn id="98" xr3:uid="{00000000-0010-0000-1A00-000062000000}" name="instruction" dataDxfId="194"/>
    <tableColumn id="100" xr3:uid="{00000000-0010-0000-1A00-000064000000}" name="max nr positions" dataDxfId="193"/>
    <tableColumn id="99" xr3:uid="{00000000-0010-0000-1A00-000063000000}" name="max perc subsidy" dataDxfId="192"/>
    <tableColumn id="2" xr3:uid="{00000000-0010-0000-1A00-000002000000}" name="1" dataDxfId="191"/>
    <tableColumn id="3" xr3:uid="{00000000-0010-0000-1A00-000003000000}" name="2" dataDxfId="190"/>
    <tableColumn id="4" xr3:uid="{00000000-0010-0000-1A00-000004000000}" name="3" dataDxfId="189"/>
    <tableColumn id="5" xr3:uid="{00000000-0010-0000-1A00-000005000000}" name="4" dataDxfId="188"/>
    <tableColumn id="6" xr3:uid="{00000000-0010-0000-1A00-000006000000}" name="5" dataDxfId="187"/>
    <tableColumn id="7" xr3:uid="{00000000-0010-0000-1A00-000007000000}" name="6" dataDxfId="186"/>
    <tableColumn id="8" xr3:uid="{00000000-0010-0000-1A00-000008000000}" name="7" dataDxfId="185"/>
    <tableColumn id="9" xr3:uid="{00000000-0010-0000-1A00-000009000000}" name="8" dataDxfId="184"/>
    <tableColumn id="10" xr3:uid="{00000000-0010-0000-1A00-00000A000000}" name="9" dataDxfId="183"/>
    <tableColumn id="11" xr3:uid="{00000000-0010-0000-1A00-00000B000000}" name="10" dataDxfId="182"/>
    <tableColumn id="12" xr3:uid="{00000000-0010-0000-1A00-00000C000000}" name="11" dataDxfId="181"/>
    <tableColumn id="13" xr3:uid="{00000000-0010-0000-1A00-00000D000000}" name="12" dataDxfId="180"/>
    <tableColumn id="14" xr3:uid="{00000000-0010-0000-1A00-00000E000000}" name="13" dataDxfId="179"/>
    <tableColumn id="15" xr3:uid="{00000000-0010-0000-1A00-00000F000000}" name="14" dataDxfId="178"/>
    <tableColumn id="16" xr3:uid="{00000000-0010-0000-1A00-000010000000}" name="15" dataDxfId="177"/>
    <tableColumn id="17" xr3:uid="{00000000-0010-0000-1A00-000011000000}" name="16" dataDxfId="176"/>
    <tableColumn id="18" xr3:uid="{00000000-0010-0000-1A00-000012000000}" name="17" dataDxfId="175"/>
    <tableColumn id="19" xr3:uid="{00000000-0010-0000-1A00-000013000000}" name="18" dataDxfId="174"/>
    <tableColumn id="20" xr3:uid="{00000000-0010-0000-1A00-000014000000}" name="19" dataDxfId="173"/>
    <tableColumn id="21" xr3:uid="{00000000-0010-0000-1A00-000015000000}" name="20" dataDxfId="172"/>
    <tableColumn id="22" xr3:uid="{00000000-0010-0000-1A00-000016000000}" name="21" dataDxfId="171"/>
    <tableColumn id="23" xr3:uid="{00000000-0010-0000-1A00-000017000000}" name="22" dataDxfId="170"/>
    <tableColumn id="24" xr3:uid="{00000000-0010-0000-1A00-000018000000}" name="23" dataDxfId="169"/>
    <tableColumn id="25" xr3:uid="{00000000-0010-0000-1A00-000019000000}" name="24" dataDxfId="168"/>
    <tableColumn id="26" xr3:uid="{00000000-0010-0000-1A00-00001A000000}" name="25" dataDxfId="167"/>
    <tableColumn id="27" xr3:uid="{00000000-0010-0000-1A00-00001B000000}" name="26" dataDxfId="166"/>
    <tableColumn id="28" xr3:uid="{00000000-0010-0000-1A00-00001C000000}" name="27" dataDxfId="165"/>
    <tableColumn id="29" xr3:uid="{00000000-0010-0000-1A00-00001D000000}" name="28" dataDxfId="164"/>
    <tableColumn id="30" xr3:uid="{00000000-0010-0000-1A00-00001E000000}" name="29" dataDxfId="163"/>
    <tableColumn id="31" xr3:uid="{00000000-0010-0000-1A00-00001F000000}" name="30" dataDxfId="162"/>
    <tableColumn id="32" xr3:uid="{00000000-0010-0000-1A00-000020000000}" name="31" dataDxfId="161"/>
    <tableColumn id="33" xr3:uid="{00000000-0010-0000-1A00-000021000000}" name="32" dataDxfId="160"/>
    <tableColumn id="34" xr3:uid="{00000000-0010-0000-1A00-000022000000}" name="33" dataDxfId="159"/>
    <tableColumn id="35" xr3:uid="{00000000-0010-0000-1A00-000023000000}" name="34" dataDxfId="158"/>
    <tableColumn id="36" xr3:uid="{00000000-0010-0000-1A00-000024000000}" name="35" dataDxfId="157"/>
    <tableColumn id="37" xr3:uid="{00000000-0010-0000-1A00-000025000000}" name="36" dataDxfId="156"/>
    <tableColumn id="38" xr3:uid="{00000000-0010-0000-1A00-000026000000}" name="37" dataDxfId="155"/>
    <tableColumn id="39" xr3:uid="{00000000-0010-0000-1A00-000027000000}" name="38" dataDxfId="154"/>
    <tableColumn id="40" xr3:uid="{00000000-0010-0000-1A00-000028000000}" name="39" dataDxfId="153"/>
    <tableColumn id="41" xr3:uid="{00000000-0010-0000-1A00-000029000000}" name="40" dataDxfId="152"/>
    <tableColumn id="42" xr3:uid="{00000000-0010-0000-1A00-00002A000000}" name="41" dataDxfId="151"/>
    <tableColumn id="43" xr3:uid="{00000000-0010-0000-1A00-00002B000000}" name="42" dataDxfId="150"/>
    <tableColumn id="44" xr3:uid="{00000000-0010-0000-1A00-00002C000000}" name="43" dataDxfId="149"/>
    <tableColumn id="45" xr3:uid="{00000000-0010-0000-1A00-00002D000000}" name="44" dataDxfId="148"/>
    <tableColumn id="46" xr3:uid="{00000000-0010-0000-1A00-00002E000000}" name="45" dataDxfId="147"/>
    <tableColumn id="47" xr3:uid="{00000000-0010-0000-1A00-00002F000000}" name="46" dataDxfId="146"/>
    <tableColumn id="48" xr3:uid="{00000000-0010-0000-1A00-000030000000}" name="47" dataDxfId="145"/>
    <tableColumn id="49" xr3:uid="{00000000-0010-0000-1A00-000031000000}" name="48" dataDxfId="144"/>
    <tableColumn id="50" xr3:uid="{00000000-0010-0000-1A00-000032000000}" name="49" dataDxfId="143"/>
    <tableColumn id="51" xr3:uid="{00000000-0010-0000-1A00-000033000000}" name="50" dataDxfId="142"/>
    <tableColumn id="52" xr3:uid="{00000000-0010-0000-1A00-000034000000}" name="51" dataDxfId="141"/>
    <tableColumn id="53" xr3:uid="{00000000-0010-0000-1A00-000035000000}" name="52" dataDxfId="140"/>
    <tableColumn id="54" xr3:uid="{00000000-0010-0000-1A00-000036000000}" name="53" dataDxfId="139"/>
    <tableColumn id="55" xr3:uid="{00000000-0010-0000-1A00-000037000000}" name="54" dataDxfId="138"/>
    <tableColumn id="56" xr3:uid="{00000000-0010-0000-1A00-000038000000}" name="55" dataDxfId="137"/>
    <tableColumn id="57" xr3:uid="{00000000-0010-0000-1A00-000039000000}" name="56" dataDxfId="136"/>
    <tableColumn id="58" xr3:uid="{00000000-0010-0000-1A00-00003A000000}" name="57" dataDxfId="135"/>
    <tableColumn id="59" xr3:uid="{00000000-0010-0000-1A00-00003B000000}" name="58" dataDxfId="134"/>
    <tableColumn id="60" xr3:uid="{00000000-0010-0000-1A00-00003C000000}" name="59" dataDxfId="133"/>
    <tableColumn id="61" xr3:uid="{00000000-0010-0000-1A00-00003D000000}" name="60" dataDxfId="132"/>
    <tableColumn id="62" xr3:uid="{00000000-0010-0000-1A00-00003E000000}" name="61" dataDxfId="131"/>
    <tableColumn id="63" xr3:uid="{00000000-0010-0000-1A00-00003F000000}" name="62" dataDxfId="130"/>
    <tableColumn id="64" xr3:uid="{00000000-0010-0000-1A00-000040000000}" name="63" dataDxfId="129"/>
    <tableColumn id="65" xr3:uid="{00000000-0010-0000-1A00-000041000000}" name="64" dataDxfId="128"/>
    <tableColumn id="66" xr3:uid="{00000000-0010-0000-1A00-000042000000}" name="65" dataDxfId="127"/>
    <tableColumn id="67" xr3:uid="{00000000-0010-0000-1A00-000043000000}" name="66" dataDxfId="126"/>
    <tableColumn id="68" xr3:uid="{00000000-0010-0000-1A00-000044000000}" name="67" dataDxfId="125"/>
    <tableColumn id="69" xr3:uid="{00000000-0010-0000-1A00-000045000000}" name="68" dataDxfId="124"/>
    <tableColumn id="70" xr3:uid="{00000000-0010-0000-1A00-000046000000}" name="69" dataDxfId="123"/>
    <tableColumn id="71" xr3:uid="{00000000-0010-0000-1A00-000047000000}" name="70" dataDxfId="122"/>
    <tableColumn id="72" xr3:uid="{00000000-0010-0000-1A00-000048000000}" name="71" dataDxfId="121"/>
    <tableColumn id="73" xr3:uid="{00000000-0010-0000-1A00-000049000000}" name="72" dataDxfId="120"/>
    <tableColumn id="74" xr3:uid="{00000000-0010-0000-1A00-00004A000000}" name="73" dataDxfId="119"/>
    <tableColumn id="75" xr3:uid="{00000000-0010-0000-1A00-00004B000000}" name="74" dataDxfId="118"/>
    <tableColumn id="76" xr3:uid="{00000000-0010-0000-1A00-00004C000000}" name="75" dataDxfId="117"/>
    <tableColumn id="77" xr3:uid="{00000000-0010-0000-1A00-00004D000000}" name="76" dataDxfId="116"/>
    <tableColumn id="78" xr3:uid="{00000000-0010-0000-1A00-00004E000000}" name="77" dataDxfId="115"/>
    <tableColumn id="79" xr3:uid="{00000000-0010-0000-1A00-00004F000000}" name="78" dataDxfId="114"/>
    <tableColumn id="80" xr3:uid="{00000000-0010-0000-1A00-000050000000}" name="79" dataDxfId="113"/>
    <tableColumn id="81" xr3:uid="{00000000-0010-0000-1A00-000051000000}" name="80" dataDxfId="112"/>
    <tableColumn id="82" xr3:uid="{00000000-0010-0000-1A00-000052000000}" name="81" dataDxfId="111"/>
    <tableColumn id="83" xr3:uid="{00000000-0010-0000-1A00-000053000000}" name="82" dataDxfId="110"/>
    <tableColumn id="84" xr3:uid="{00000000-0010-0000-1A00-000054000000}" name="83" dataDxfId="109"/>
    <tableColumn id="85" xr3:uid="{00000000-0010-0000-1A00-000055000000}" name="84" dataDxfId="108"/>
    <tableColumn id="86" xr3:uid="{00000000-0010-0000-1A00-000056000000}" name="85" dataDxfId="107"/>
    <tableColumn id="87" xr3:uid="{00000000-0010-0000-1A00-000057000000}" name="86" dataDxfId="106"/>
    <tableColumn id="88" xr3:uid="{00000000-0010-0000-1A00-000058000000}" name="87" dataDxfId="105"/>
    <tableColumn id="89" xr3:uid="{00000000-0010-0000-1A00-000059000000}" name="88" dataDxfId="104"/>
    <tableColumn id="90" xr3:uid="{00000000-0010-0000-1A00-00005A000000}" name="89" dataDxfId="103"/>
    <tableColumn id="91" xr3:uid="{00000000-0010-0000-1A00-00005B000000}" name="90" dataDxfId="102"/>
    <tableColumn id="92" xr3:uid="{00000000-0010-0000-1A00-00005C000000}" name="91" dataDxfId="101"/>
    <tableColumn id="93" xr3:uid="{00000000-0010-0000-1A00-00005D000000}" name="92" dataDxfId="100"/>
    <tableColumn id="94" xr3:uid="{00000000-0010-0000-1A00-00005E000000}" name="93" dataDxfId="99"/>
    <tableColumn id="95" xr3:uid="{00000000-0010-0000-1A00-00005F000000}" name="94" dataDxfId="98"/>
    <tableColumn id="96" xr3:uid="{00000000-0010-0000-1A00-000060000000}" name="95" dataDxfId="97"/>
    <tableColumn id="97" xr3:uid="{00000000-0010-0000-1A00-000061000000}" name="96" dataDxfId="9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C000000}" name="CCC_table" displayName="CCC_table" ref="A134:E301" totalsRowShown="0" headerRowDxfId="95" dataDxfId="94">
  <autoFilter ref="A134:E301" xr:uid="{00000000-0009-0000-0100-000017000000}"/>
  <tableColumns count="5">
    <tableColumn id="1" xr3:uid="{00000000-0010-0000-1C00-000001000000}" name="Code" dataDxfId="93"/>
    <tableColumn id="2" xr3:uid="{00000000-0010-0000-1C00-000002000000}" name="Country" dataDxfId="92"/>
    <tableColumn id="3" xr3:uid="{00000000-0010-0000-1C00-000003000000}" name="Code and Country" dataDxfId="91">
      <calculatedColumnFormula>A135&amp;" "&amp;B135&amp;" "&amp;"CCC: "&amp;D135</calculatedColumnFormula>
    </tableColumn>
    <tableColumn id="4" xr3:uid="{00000000-0010-0000-1C00-000004000000}" name="CC" dataDxfId="90"/>
    <tableColumn id="5" xr3:uid="{00000000-0010-0000-1C00-000005000000}" name="Categorie" dataDxfId="89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1D000000}" name="list_main_applicant" displayName="list_main_applicant" ref="A309:A318" totalsRowShown="0" headerRowDxfId="88" dataDxfId="87">
  <autoFilter ref="A309:A318" xr:uid="{00000000-0009-0000-0100-000026000000}"/>
  <tableColumns count="1">
    <tableColumn id="1" xr3:uid="{00000000-0010-0000-1D00-000001000000}" name="type institute - org main applicant:" dataDxfId="86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E000000}" name="check_items" displayName="check_items" ref="A26:C55" totalsRowShown="0" headerRowDxfId="85" dataDxfId="84">
  <autoFilter ref="A26:C55" xr:uid="{00000000-0009-0000-0100-000018000000}"/>
  <tableColumns count="3">
    <tableColumn id="1" xr3:uid="{00000000-0010-0000-1E00-000001000000}" name="Situation" dataDxfId="83"/>
    <tableColumn id="2" xr3:uid="{00000000-0010-0000-1E00-000002000000}" name="Message" dataDxfId="82"/>
    <tableColumn id="3" xr3:uid="{00000000-0010-0000-1E00-000003000000}" name="Remarks" dataDxfId="81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F000000}" name="personnel_ac_notes" displayName="personnel_ac_notes" ref="A70:P80" totalsRowShown="0" headerRowDxfId="80" dataDxfId="79">
  <autoFilter ref="A70:P80" xr:uid="{00000000-0009-0000-0100-000019000000}"/>
  <tableColumns count="16">
    <tableColumn id="1" xr3:uid="{00000000-0010-0000-1F00-000001000000}" name="Row nr" dataDxfId="78"/>
    <tableColumn id="13" xr3:uid="{00000000-0010-0000-1F00-00000D000000}" name="Combined notes" dataDxfId="77">
      <calculatedColumnFormula array="1">IFERROR(INDEX(personnel_ac_notes[[#This Row],[Exceeding nr months]:[Costs specified]],1,MATCH(TRUE,LEN(personnel_ac_notes[[#This Row],[Exceeding nr months]:[Costs specified]])&gt;0,0)),"")</calculatedColumnFormula>
    </tableColumn>
    <tableColumn id="2" xr3:uid="{00000000-0010-0000-1F00-000002000000}" name="Exceeding nr months" dataDxfId="76">
      <calculatedColumnFormula>IFERROR(IF(INDEX(Personnel[Months],A71)&gt;Max_project_duration,$B$35,""),"")</calculatedColumnFormula>
    </tableColumn>
    <tableColumn id="24" xr3:uid="{00000000-0010-0000-1F00-000018000000}" name="Empty lines" dataDxfId="75">
      <calculatedColumnFormula>IFERROR(IF(AND(LEN(INDEX(Personnel[Category],A71))+LEN(INDEX(Personnel[FTE],A71))+LEN(INDEX(Personnel[Months],A71))&gt;0,LEN(INDEX(Personnel[Category],A71-1))+LEN(INDEX(Personnel[FTE],A71-1))+LEN(INDEX(Personnel[Months],A71-1))=0),$B$34,""),"")</calculatedColumnFormula>
    </tableColumn>
    <tableColumn id="25" xr3:uid="{00000000-0010-0000-1F00-000019000000}" name="Instruction" dataDxfId="74">
      <calculatedColumnFormula>IF(AND(NOT(ISBLANK(INDEX(Personnel[Category],A71))),OR(ISBLANK(INDEX(Personnel[FTE],A71)),ISBLANK(INDEX(Personnel[Months],A71)))),VLOOKUP(INDEX(Personnel[Category],A71),salaries_academic[],2,FALSE),"")</calculatedColumnFormula>
    </tableColumn>
    <tableColumn id="3" xr3:uid="{00000000-0010-0000-1F00-000003000000}" name="PhD duration too small" dataDxfId="73">
      <calculatedColumnFormula>IFERROR(IF(COUNTIF(INDEX(Personnel[Category],A71),"*- PhD*")&gt;0,IF(INDEX(Personnel[Months],A71)*INDEX(Personnel[FTE],A71)&lt;pers_PhD_min_months,$B$36,""),""),"")</calculatedColumnFormula>
    </tableColumn>
    <tableColumn id="26" xr3:uid="{00000000-0010-0000-1F00-00001A000000}" name="PhD too long" dataDxfId="72">
      <calculatedColumnFormula>IFERROR(IF(COUNTIF(INDEX(Personnel[Category],$A71),"*- PhD*")&gt;0,IF(INDEX(Personnel[Months],$A71)*INDEX(Personnel[FTE],$A71)&gt;pers_PhD_max_months,$B$37,""),""),"")</calculatedColumnFormula>
    </tableColumn>
    <tableColumn id="5" xr3:uid="{00000000-0010-0000-1F00-000005000000}" name="EngD combination with PhD/PD" dataDxfId="71">
      <calculatedColumnFormula>IFERROR(IF(COUNTIF(INDEX(Personnel[Category],A71),"*EngD*")&gt;0,IF(OR(IFERROR(MATCH("*PhD*",Personnel[Category],0),0)&gt;0,IFERROR(MATCH("*PostDoc*",Personnel[Category],0),0)&gt;0),"",$B$38),""),"")</calculatedColumnFormula>
    </tableColumn>
    <tableColumn id="6" xr3:uid="{00000000-0010-0000-1F00-000006000000}" name="EngD duration" dataDxfId="70">
      <calculatedColumnFormula>IFERROR(IF(COUNTIF(INDEX(Personnel[Category],A71),"*EngD*")&gt;0,IF(INDEX(Personnel[Months],A71)*INDEX(Personnel[FTE],A71)&gt;pers_PDEng_max_months,$B$39,""),""),"")</calculatedColumnFormula>
    </tableColumn>
    <tableColumn id="7" xr3:uid="{00000000-0010-0000-1F00-000007000000}" name="PD min duration" dataDxfId="69">
      <calculatedColumnFormula>IFERROR(IF(COUNTIF(INDEX(Personnel[Category],A71),"*PostDoc*")&gt;0,IF(INDEX(Personnel[Months],A71)&lt;pers_PD_min_months,$B$40,""),""),"")</calculatedColumnFormula>
    </tableColumn>
    <tableColumn id="27" xr3:uid="{00000000-0010-0000-1F00-00001B000000}" name="PD min FTE" dataDxfId="68">
      <calculatedColumnFormula>IFERROR(IF(COUNTIF(INDEX(Personnel[Category],A71),"*PostDoc*")&gt;0,IF(INDEX(Personnel[FTE],A71)&lt;pers_PD_min_FTE,$B$41,""),""),"")</calculatedColumnFormula>
    </tableColumn>
    <tableColumn id="8" xr3:uid="{00000000-0010-0000-1F00-000008000000}" name="PD max duration" dataDxfId="67">
      <calculatedColumnFormula>IFERROR(IF(COUNTIF(INDEX(Personnel[Category],A71),"*PostDoc*")&gt;0,IF(INDEX(Personnel[Months],A71)*INDEX(Personnel[FTE],A71)&gt;pers_PD_max_months,$B$42,""),""),"")</calculatedColumnFormula>
    </tableColumn>
    <tableColumn id="11" xr3:uid="{00000000-0010-0000-1F00-00000B000000}" name="Phys-researcher min duration" dataDxfId="66">
      <calculatedColumnFormula>IFERROR(IF(COUNTIF(INDEX(Personnel[Category],A71),"*hysici*")&gt;0,IF(INDEX(Personnel[Months],A71)*INDEX(Personnel[FTE],A71)&lt;pers_phy_res_min_months,$B$43,""),""),"")</calculatedColumnFormula>
    </tableColumn>
    <tableColumn id="12" xr3:uid="{00000000-0010-0000-1F00-00000C000000}" name="Phys-researcher max duration" dataDxfId="65">
      <calculatedColumnFormula>IFERROR(IF(COUNTIF(INDEX(Personnel[Category],A71),"*hysici*")&gt;0,IF(INDEX(Personnel[Months],A71)*INDEX(Personnel[FTE],A71)&gt;pers_phy_res_max_months,$B$44,""),""),"")</calculatedColumnFormula>
    </tableColumn>
    <tableColumn id="23" xr3:uid="{00000000-0010-0000-1F00-000017000000}" name="No costs given" dataDxfId="64">
      <calculatedColumnFormula>IFERROR(IF(AND(INDEX(Personnel[Costs],A71)=0,INDEX(salaries_academic[[category]:[1]],MATCH(INDEX(Personnel[Category],A71),salaries_academic[category],0),3)=0),$B$45,""),"")</calculatedColumnFormula>
    </tableColumn>
    <tableColumn id="21" xr3:uid="{00000000-0010-0000-1F00-000015000000}" name="Costs specified" dataDxfId="63">
      <calculatedColumnFormula>IFERROR(IF(AND(INDEX(Personnel[Costs],A71)&gt;0,NOT(INDEX(Personnel[Category],A71)=parameters!$A$84)),$B$46,""),"")</calculatedColumnFormula>
    </tableColumn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2000000}" name="materials_notes" displayName="materials_notes" ref="A199:D224" totalsRowShown="0">
  <autoFilter ref="A199:D224" xr:uid="{00000000-0009-0000-0100-000021000000}"/>
  <tableColumns count="4">
    <tableColumn id="1" xr3:uid="{00000000-0010-0000-2200-000001000000}" name="Row nr" dataDxfId="62"/>
    <tableColumn id="2" xr3:uid="{00000000-0010-0000-2200-000002000000}" name="Combined notes" dataDxfId="61">
      <calculatedColumnFormula array="1">IFERROR(INDEX(materials_notes[[#This Row],[Empty line]:[Amount not specified]],1,MATCH(TRUE,LEN(materials_notes[[#This Row],[Empty line]:[Amount not specified]])&gt;0,0)),"")</calculatedColumnFormula>
    </tableColumn>
    <tableColumn id="10" xr3:uid="{00000000-0010-0000-2200-00000A000000}" name="Empty line" dataDxfId="60">
      <calculatedColumnFormula>IFERROR(IF(AND(empty_lines="no",LEN(INDEX(materials[Description],materials_notes[[#This Row],[Row nr]]))=0,LEN(INDEX(materials[Description],materials_notes[[#This Row],[Row nr]]+1))&gt;0),$B$34,""),"")</calculatedColumnFormula>
    </tableColumn>
    <tableColumn id="4" xr3:uid="{00000000-0010-0000-2200-000004000000}" name="Amount not specified" dataDxfId="59">
      <calculatedColumnFormula>IF(AND(LEN(INDEX(materials[Description],materials_notes[[#This Row],[Row nr]]))&gt;0,LEN(INDEX(materials[Amount],materials_notes[[#This Row],[Row nr]]))=0),$B$49,"")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3000000}" name="cofunding_comb_notes" displayName="cofunding_comb_notes" ref="A287:B288" totalsRowShown="0" headerRowDxfId="58" dataDxfId="57">
  <autoFilter ref="A287:B288" xr:uid="{00000000-0009-0000-0100-000023000000}"/>
  <tableColumns count="2">
    <tableColumn id="1" xr3:uid="{00000000-0010-0000-2300-000001000000}" name="Combined notes" dataDxfId="56">
      <calculatedColumnFormula>cofunding_comb_notes[too much]</calculatedColumnFormula>
    </tableColumn>
    <tableColumn id="5" xr3:uid="{00000000-0010-0000-2300-000005000000}" name="too much" dataDxfId="55">
      <calculatedColumnFormula>IF(Total_cofunding&gt;cofunding_max_perc*Total_project_budget,B55,"")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benchfee" displayName="benchfee" ref="A31:H42" totalsRowCount="1" headerRowDxfId="346" totalsRowDxfId="343" headerRowBorderDxfId="345" tableBorderDxfId="344">
  <autoFilter ref="A31:H4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0000000-0010-0000-0300-000001000000}" name="Category" dataDxfId="342" totalsRowDxfId="341">
      <calculatedColumnFormula>checks!I11</calculatedColumnFormula>
    </tableColumn>
    <tableColumn id="2" xr3:uid="{00000000-0010-0000-0300-000002000000}" name="FTE" dataDxfId="340" totalsRowDxfId="339">
      <calculatedColumnFormula>checks!J11</calculatedColumnFormula>
    </tableColumn>
    <tableColumn id="3" xr3:uid="{00000000-0010-0000-0300-000003000000}" name="Months" dataDxfId="338" totalsRowDxfId="337">
      <calculatedColumnFormula>checks!K11</calculatedColumnFormula>
    </tableColumn>
    <tableColumn id="4" xr3:uid="{00000000-0010-0000-0300-000004000000}" name="# Benchfee" dataDxfId="336" totalsRowDxfId="335"/>
    <tableColumn id="8" xr3:uid="{00000000-0010-0000-0300-000008000000}" name="€/benchfee" totalsRowLabel="Sub total:" dataDxfId="334" totalsRowDxfId="333">
      <calculatedColumnFormula>benchfee_amount</calculatedColumnFormula>
    </tableColumn>
    <tableColumn id="7" xr3:uid="{00000000-0010-0000-0300-000007000000}" name="Organisation type" dataDxfId="332" totalsRowDxfId="331">
      <calculatedColumnFormula>checks!L11</calculatedColumnFormula>
    </tableColumn>
    <tableColumn id="5" xr3:uid="{00000000-0010-0000-0300-000005000000}" name="Name organisation" dataDxfId="330" totalsRowDxfId="329">
      <calculatedColumnFormula>checks!M11</calculatedColumnFormula>
    </tableColumn>
    <tableColumn id="6" xr3:uid="{00000000-0010-0000-0300-000006000000}" name="Amount" totalsRowFunction="custom" dataDxfId="328" totalsRowDxfId="327">
      <calculatedColumnFormula>IF(LEN(benchfee[[#This Row],[Category]])&gt;0,benchfee[[#This Row],['# Benchfee]]*benchfee_amount,"")</calculatedColumnFormula>
      <totalsRowFormula>SUM(benchfee[Amount])</totalsRowFormula>
    </tableColumn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5000000}" name="comb_notes_inkind" displayName="comb_notes_inkind" ref="A250:E265" totalsRowShown="0" headerRowDxfId="54" dataDxfId="53">
  <autoFilter ref="A250:E265" xr:uid="{00000000-0009-0000-0100-000025000000}"/>
  <tableColumns count="5">
    <tableColumn id="1" xr3:uid="{00000000-0010-0000-2500-000001000000}" name="Row nr" dataDxfId="52"/>
    <tableColumn id="2" xr3:uid="{00000000-0010-0000-2500-000002000000}" name="Combined notes" dataDxfId="51">
      <calculatedColumnFormula array="1">IFERROR(INDEX(comb_notes_inkind[[#This Row],[Empty line]:[Exceeding rate]],1,MATCH(TRUE,LEN(comb_notes_inkind[[#This Row],[Empty line]:[Exceeding rate]])&gt;0,0)),"")</calculatedColumnFormula>
    </tableColumn>
    <tableColumn id="3" xr3:uid="{00000000-0010-0000-2500-000003000000}" name="Empty line" dataDxfId="50">
      <calculatedColumnFormula>IFERROR(IF(AND(LEN(INDEX(inkind[Organisation + description of co-funding],$A251))+LEN(INDEX(inkind[Type co-funding],$A251))+LEN(INDEX(inkind[[  ]],$A251))+LEN(INDEX(inkind[Nr of units or Nr of hours],$A251))&gt;0,LEN(INDEX(inkind[Organisation + description of co-funding],$A251-1))+LEN(INDEX(inkind[Type co-funding],$A251-1))+LEN(INDEX(inkind[[  ]],$A251-1))+LEN(INDEX(inkind[Nr of units or Nr of hours],$A251-1))=0),$B$34,""),"")</calculatedColumnFormula>
    </tableColumn>
    <tableColumn id="4" xr3:uid="{00000000-0010-0000-2500-000004000000}" name="No type co-funding" dataDxfId="49">
      <calculatedColumnFormula>IF(AND(INDEX(inkind[Amount],$A251)&gt;0,LEN(INDEX(inkind[Type co-funding],$A251))=0,cofunding_inkind_def_rates="yes"),$B$53,"")</calculatedColumnFormula>
    </tableColumn>
    <tableColumn id="8" xr3:uid="{00000000-0010-0000-2500-000008000000}" name="Exceeding rate" dataDxfId="48">
      <calculatedColumnFormula array="1">IF(AND(INDEX(inkind[Type co-funding],$A251)="Personnel",INDEX(inkind[Unit price or hourly rate],$A251)&gt;cofunding_max_rate),$B$54,"")</calculatedColumnFormula>
    </tableColumn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F80F25-0677-427B-8250-5F22A0152809}" name="KU_notes" displayName="KU_notes" ref="A228:E243" totalsRowShown="0" headerRowBorderDxfId="47" tableBorderDxfId="46">
  <autoFilter ref="A228:E243" xr:uid="{B9F80F25-0677-427B-8250-5F22A0152809}"/>
  <tableColumns count="5">
    <tableColumn id="1" xr3:uid="{54A3ADDE-EF04-4CD3-936B-D67C3C965F63}" name="Row nr" dataDxfId="45"/>
    <tableColumn id="2" xr3:uid="{1EA2A4BE-FCC9-4242-B174-D73FA48FA6E0}" name="Combined notes" dataDxfId="44">
      <calculatedColumnFormula array="1">IFERROR(INDEX(KU_notes[[#This Row],[Empty line]:[Amount not provided]],1,MATCH(TRUE,LEN(KU_notes[[#This Row],[Empty line]:[Amount not provided]])&gt;0,0)),"")</calculatedColumnFormula>
    </tableColumn>
    <tableColumn id="3" xr3:uid="{FB625609-D595-4676-8299-5D14E2CA7766}" name="Empty line" dataDxfId="43">
      <calculatedColumnFormula>IFERROR(IF(AND(empty_lines="no",LEN(INDEX(knowledge_utilisation[Description],KU_notes[[#This Row],[Row nr]]))=0,LEN(INDEX(knowledge_utilisation[Description],KU_notes[[#This Row],[Row nr]]+1))&gt;0),$B$34,""),"")</calculatedColumnFormula>
    </tableColumn>
    <tableColumn id="10" xr3:uid="{8D585B42-E977-4C2A-B616-7AE063DDF264}" name="% of NWO budget too high" dataDxfId="42">
      <calculatedColumnFormula array="1">IF(AND(INDEX(knowledge_utilisation[Amount],KU_notes[[#This Row],[Row nr]])&gt;0,SUM(knowledge_utilisation[Amount])&gt;KU_maxperc*Total_NWO_funding),$B$51,"")</calculatedColumnFormula>
    </tableColumn>
    <tableColumn id="4" xr3:uid="{D78C36A3-5B2A-4197-9CEE-119BD497C5E9}" name="Amount not provided" dataDxfId="41">
      <calculatedColumnFormula>IF(AND(LEN(INDEX(knowledge_utilisation[Description],KU_notes[[#This Row],[Row nr]]))&gt;0,INDEX(knowledge_utilisation[Amount],KU_notes[[#This Row],[Row nr]])=0),$B$52,"")</calculatedColumnFormula>
    </tableColumn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39CB6DA-E3ED-437F-9224-392E7668680C}" name="pers_fixed_notes" displayName="pers_fixed_notes" ref="A84:C184" totalsRowShown="0" headerRowDxfId="40" dataDxfId="39" tableBorderDxfId="38">
  <autoFilter ref="A84:C184" xr:uid="{B39CB6DA-E3ED-437F-9224-392E7668680C}"/>
  <tableColumns count="3">
    <tableColumn id="1" xr3:uid="{C7F10B54-1A41-41FC-9D37-60D688A3EE62}" name="Row nr" dataDxfId="37"/>
    <tableColumn id="2" xr3:uid="{1C33E37C-4F50-45EF-BA14-0F920A41DD79}" name="Combined notes" dataDxfId="36">
      <calculatedColumnFormula array="1">IFERROR(INDEX(#REF!,1,MATCH(TRUE,LEN(#REF!)&gt;0,0)),"")</calculatedColumnFormula>
    </tableColumn>
    <tableColumn id="7" xr3:uid="{FF2F1C1E-62ED-4C5A-B299-2C0E50B8A842}" name="Empty lines" dataDxfId="35">
      <calculatedColumnFormula>IFERROR(IF(AND(empty_lines="no",LEN(_xlfn.SINGLE(INDEX(#REF!,pers_fixed_notes[[#This Row],[Row nr]])))=0,LEN(_xlfn.SINGLE(INDEX(#REF!,pers_fixed_notes[[#This Row],[Row nr]]+1)))&gt;0),$B$34,""),"")</calculatedColumnFormula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61F9051A-12E0-4A32-A86D-6C49FFD2F740}" name="check_benchfee" displayName="check_benchfee" ref="B10:F20" totalsRowShown="0" headerRowDxfId="34" dataDxfId="33" tableBorderDxfId="32">
  <autoFilter ref="B10:F20" xr:uid="{61F9051A-12E0-4A32-A86D-6C49FFD2F740}"/>
  <tableColumns count="5">
    <tableColumn id="1" xr3:uid="{F89340D0-99A6-4F8E-893A-5EDCD25F6DAB}" name="0" dataDxfId="31">
      <calculatedColumnFormula>IF(IFERROR(MATCH("*",OFFSET(Budget!$A$18,B10,0,ROWS(Personnel[]),1),0)+B10,999)&lt;ROWS(Personnel[]),IFERROR(MATCH("*",OFFSET(Budget!$A$18,B10,0,ROWS(Personnel[]),1),0)+B10,999),"")</calculatedColumnFormula>
    </tableColumn>
    <tableColumn id="2" xr3:uid="{26DF2B1D-4147-477B-8C9B-C79743CF3165}" name="Position" dataDxfId="30">
      <calculatedColumnFormula>IFERROR(INDEX(Personnel[Category],B11),"")</calculatedColumnFormula>
    </tableColumn>
    <tableColumn id="3" xr3:uid="{AE447BB9-061B-4AA1-8CFE-C4A79D5F5CA3}" name="organisation type" dataDxfId="29">
      <calculatedColumnFormula>IFERROR(INDEX(Personnel[Organisation type],B11),"")</calculatedColumnFormula>
    </tableColumn>
    <tableColumn id="4" xr3:uid="{5FCEA9EB-3947-4BB2-AB97-ADA1D693BC00}" name="PD appointment" dataDxfId="28">
      <calculatedColumnFormula>IF(B11="","",IF(_xlfn.IFNA(MATCH("*Postdoc*",C11,0)&gt;0,FALSE),IF(AND(INDEX(Personnel[FTE],B11)&gt;pers_PD_min_FTE,INDEX(Personnel[Months],B11)&gt;pers_PD_min_months),TRUE,FALSE),TRUE))</calculatedColumnFormula>
    </tableColumn>
    <tableColumn id="5" xr3:uid="{77527F24-3036-41A1-B8F7-2BE64F3DFD60}" name="eligible?" dataDxfId="27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FC219B-E9AE-4FC2-8BAE-0320D6E90035}" name="result_benchfee" displayName="result_benchfee" ref="H10:N20" totalsRowShown="0" headerRowDxfId="26" dataDxfId="25">
  <autoFilter ref="H10:N20" xr:uid="{D8FC219B-E9AE-4FC2-8BAE-0320D6E90035}"/>
  <tableColumns count="7">
    <tableColumn id="1" xr3:uid="{7DF8F595-75A3-4D59-8884-4E4A9D6E7FE3}" name="0" dataDxfId="24">
      <calculatedColumnFormula array="1">IFERROR(_xlfn.IFNA(INDEX($B$11:$E$20,H10+MATCH("yes",OFFSET($F$11,H10,0,ROWS(Personnel[])-H10,1),0),1),""),"")</calculatedColumnFormula>
    </tableColumn>
    <tableColumn id="2" xr3:uid="{DA06DCC9-7042-40EA-90E5-F4582F7401FC}" name="Category" dataDxfId="23">
      <calculatedColumnFormula>IFERROR(INDEX(Personnel[Category],H11),"")</calculatedColumnFormula>
    </tableColumn>
    <tableColumn id="3" xr3:uid="{1B4DF5AC-FFB1-4B8C-99C9-36F769AF9BB4}" name="FTE" dataDxfId="22">
      <calculatedColumnFormula>IFERROR(INDEX(Personnel[FTE],H11),"")</calculatedColumnFormula>
    </tableColumn>
    <tableColumn id="4" xr3:uid="{38537017-8DE6-44E3-AEA1-051E2C9B16A0}" name="Months" dataDxfId="21">
      <calculatedColumnFormula>IFERROR(INDEX(Personnel[Months],H11),"")</calculatedColumnFormula>
    </tableColumn>
    <tableColumn id="5" xr3:uid="{DD055557-8572-42E4-85E6-0E609A80F0B7}" name="Organisation" dataDxfId="20">
      <calculatedColumnFormula>SUBSTITUTE(IFERROR(INDEX(Personnel[Organisation type],H11),""),0,"")</calculatedColumnFormula>
    </tableColumn>
    <tableColumn id="6" xr3:uid="{EFA145A1-7E93-4F78-8EC3-6BB6268F0BD5}" name="Name org" dataDxfId="19">
      <calculatedColumnFormula>SUBSTITUTE(IFERROR(INDEX(Personnel[Name organisation],H11),""),0,"")</calculatedColumnFormula>
    </tableColumn>
    <tableColumn id="7" xr3:uid="{3E778D86-A505-41F1-878A-D60C28240825}" name="Amount" dataDxfId="18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72F0860F-2C98-4645-B98E-934B9313797F}" name="private_cofunding" displayName="private_cofunding" ref="P10:Q20" totalsRowShown="0" headerRowDxfId="17" tableBorderDxfId="16">
  <autoFilter ref="P10:Q20" xr:uid="{72F0860F-2C98-4645-B98E-934B9313797F}"/>
  <tableColumns count="2">
    <tableColumn id="1" xr3:uid="{E6066DD8-B519-4F81-9EAB-072B586C8F6B}" name="Private co-funding - inkind" dataDxfId="15"/>
    <tableColumn id="2" xr3:uid="{ABEF62D5-E6A6-44F3-81B0-A3E9DF2052AB}" name="Private co-funding - incash" dataDxfId="14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9AF78E06-B544-4FEF-B6DC-FAB3AA3AF2DF}" name="pers_abr_amount_org" displayName="pers_abr_amount_org" ref="T10:W20" totalsRowShown="0" headerRowDxfId="13" dataDxfId="12">
  <autoFilter ref="T10:W20" xr:uid="{9AF78E06-B544-4FEF-B6DC-FAB3AA3AF2DF}"/>
  <tableColumns count="4">
    <tableColumn id="1" xr3:uid="{1E5F5E15-0D0D-4716-A568-3AF5CBEA8AE1}" name="0" dataDxfId="11">
      <calculatedColumnFormula>IF(IFERROR(MATCH(pers_int_listname,OFFSET(Budget!$F$18,T10,0,ROWS(Personnel[]),1),0)+T10,999)&lt;ROWS(Personnel[]),IFERROR(MATCH(pers_int_listname,OFFSET(Budget!$F$18,T10,0,ROWS(Personnel[]),1),0)+T10,999),"")</calculatedColumnFormula>
    </tableColumn>
    <tableColumn id="2" xr3:uid="{D2767BB2-E05F-49A9-9D7C-39BA68C38394}" name="Name org" dataDxfId="10">
      <calculatedColumnFormula>IFERROR(INDEX(Personnel[Name organisation],T11),"")</calculatedColumnFormula>
    </tableColumn>
    <tableColumn id="3" xr3:uid="{D28E1C43-7DEE-4BAE-88BC-13CC267B6F6F}" name="Amount" dataDxfId="9">
      <calculatedColumnFormula>IFERROR(INDEX(Personnel[Amount],T11),"")</calculatedColumnFormula>
    </tableColumn>
    <tableColumn id="4" xr3:uid="{5F9BF60D-4ACB-43B8-AFDA-7E74441C5CA0}" name="Total amount/org" dataDxfId="8">
      <calculatedColumnFormula>IF(SUMIF(pers_abr_amount_org[Name org],pers_abr_amount_org[[#This Row],[Name org]],pers_abr_amount_org[Amount])&gt;0,SUMIF(pers_abr_amount_org[Name org],pers_abr_amount_org[[#This Row],[Name org]],pers_abr_amount_org[Amount]),"")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incash" displayName="incash" ref="A143:H154" totalsRowCount="1" headerRowDxfId="326" totalsRowDxfId="324" tableBorderDxfId="325">
  <autoFilter ref="A143:H153" xr:uid="{00000000-0009-0000-0100-00000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0000000-0010-0000-0600-000001000000}" name="Organisation" dataDxfId="323" totalsRowDxfId="322"/>
    <tableColumn id="2" xr3:uid="{00000000-0010-0000-0600-000002000000}" name=" " dataDxfId="321" totalsRowDxfId="320"/>
    <tableColumn id="3" xr3:uid="{00000000-0010-0000-0600-000003000000}" name="  " dataDxfId="319" totalsRowDxfId="318"/>
    <tableColumn id="4" xr3:uid="{00000000-0010-0000-0600-000004000000}" name="   " dataDxfId="317" totalsRowDxfId="316"/>
    <tableColumn id="7" xr3:uid="{00000000-0010-0000-0600-000007000000}" name="    " totalsRowLabel="Sub total:" dataDxfId="315" totalsRowDxfId="314"/>
    <tableColumn id="5" xr3:uid="{00000000-0010-0000-0600-000005000000}" name="Organisation type" dataDxfId="313" totalsRowDxfId="312"/>
    <tableColumn id="8" xr3:uid="{00000000-0010-0000-0600-000008000000}" name="Name organisation" dataDxfId="311" totalsRowDxfId="310"/>
    <tableColumn id="6" xr3:uid="{00000000-0010-0000-0600-000006000000}" name="Amount" totalsRowFunction="custom" totalsRowDxfId="309">
      <totalsRowFormula>SUM(incash[Amount])</totalsRow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8000000}" name="materials" displayName="materials" ref="A46:H72" totalsRowCount="1" headerRowDxfId="308" totalsRowDxfId="306" tableBorderDxfId="307">
  <autoFilter ref="A46:H71" xr:uid="{00000000-0009-0000-0100-00000D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0000000-0010-0000-0800-000001000000}" name="Description" dataDxfId="305" totalsRowDxfId="304"/>
    <tableColumn id="2" xr3:uid="{00000000-0010-0000-0800-000002000000}" name=" " dataDxfId="303" totalsRowDxfId="302"/>
    <tableColumn id="3" xr3:uid="{00000000-0010-0000-0800-000003000000}" name="  " dataDxfId="301" totalsRowDxfId="300"/>
    <tableColumn id="4" xr3:uid="{00000000-0010-0000-0800-000004000000}" name="   " dataDxfId="299" totalsRowDxfId="298"/>
    <tableColumn id="7" xr3:uid="{00000000-0010-0000-0800-000007000000}" name="    " totalsRowLabel="Total material costs:" dataDxfId="297" totalsRowDxfId="296"/>
    <tableColumn id="5" xr3:uid="{00000000-0010-0000-0800-000005000000}" name="Organisation type" dataDxfId="295" totalsRowDxfId="294"/>
    <tableColumn id="8" xr3:uid="{00000000-0010-0000-0800-000008000000}" name="Name organisation" dataDxfId="293" totalsRowDxfId="292"/>
    <tableColumn id="6" xr3:uid="{00000000-0010-0000-0800-000006000000}" name="Amount" totalsRowFunction="custom" dataDxfId="291" totalsRowDxfId="290">
      <totalsRowFormula>SUM(materials[Amount])</totalsRow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B000000}" name="knowledge_utilisation" displayName="knowledge_utilisation" ref="A96:H112" totalsRowCount="1" headerRowDxfId="289" dataDxfId="288" totalsRowDxfId="286" tableBorderDxfId="287">
  <autoFilter ref="A96:H111" xr:uid="{00000000-0009-0000-0100-00001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0000000-0010-0000-0B00-000001000000}" name="Description" dataDxfId="285" totalsRowDxfId="284"/>
    <tableColumn id="2" xr3:uid="{00000000-0010-0000-0B00-000002000000}" name=" " dataDxfId="283" totalsRowDxfId="282"/>
    <tableColumn id="3" xr3:uid="{00000000-0010-0000-0B00-000003000000}" name="  " dataDxfId="281" totalsRowDxfId="280"/>
    <tableColumn id="4" xr3:uid="{00000000-0010-0000-0B00-000004000000}" name="   " dataDxfId="279" totalsRowDxfId="278"/>
    <tableColumn id="7" xr3:uid="{00000000-0010-0000-0B00-000007000000}" name="    " totalsRowLabel="Total knowledge utilisation:" dataDxfId="277" totalsRowDxfId="276"/>
    <tableColumn id="5" xr3:uid="{00000000-0010-0000-0B00-000005000000}" name="Organisation type" dataDxfId="275" totalsRowDxfId="274"/>
    <tableColumn id="8" xr3:uid="{00000000-0010-0000-0B00-000008000000}" name="Name organisation" dataDxfId="273" totalsRowDxfId="272"/>
    <tableColumn id="6" xr3:uid="{00000000-0010-0000-0B00-000006000000}" name="Amount" totalsRowFunction="custom" dataDxfId="271" totalsRowDxfId="270">
      <calculatedColumnFormula>SUM(knowledge_utilisation[Amount])</calculatedColumnFormula>
      <totalsRowFormula>SUM(knowledge_utilisation[Amount])</totalsRow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2000000}" name="investments_small" displayName="investments_small" ref="A75:H91" totalsRowCount="1" headerRowDxfId="269" totalsRowDxfId="267" tableBorderDxfId="268">
  <autoFilter ref="A75:H90" xr:uid="{00000000-0009-0000-0100-00001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0000000-0010-0000-1200-000001000000}" name="Description" dataDxfId="266" totalsRowDxfId="265"/>
    <tableColumn id="2" xr3:uid="{00000000-0010-0000-1200-000002000000}" name=" " dataDxfId="264" totalsRowDxfId="263"/>
    <tableColumn id="3" xr3:uid="{00000000-0010-0000-1200-000003000000}" name="  " dataDxfId="262" totalsRowDxfId="261"/>
    <tableColumn id="4" xr3:uid="{00000000-0010-0000-1200-000004000000}" name="   " dataDxfId="260" totalsRowDxfId="259"/>
    <tableColumn id="7" xr3:uid="{00000000-0010-0000-1200-000007000000}" name="    " totalsRowLabel="Sub total:" dataDxfId="258" totalsRowDxfId="257"/>
    <tableColumn id="5" xr3:uid="{00000000-0010-0000-1200-000005000000}" name="Organisation type" dataDxfId="256" totalsRowDxfId="255"/>
    <tableColumn id="8" xr3:uid="{00000000-0010-0000-1200-000008000000}" name="Name organisation" dataDxfId="254" totalsRowDxfId="253"/>
    <tableColumn id="6" xr3:uid="{00000000-0010-0000-1200-000006000000}" name="Amount" totalsRowFunction="custom" dataDxfId="252" totalsRowDxfId="251">
      <totalsRowFormula>SUM(investments_small[Amount])</totalsRowFormula>
    </tableColumn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14000000}" name="inkind" displayName="inkind" ref="A125:H141" totalsRowCount="1" totalsRowDxfId="249" tableBorderDxfId="250">
  <autoFilter ref="A125:H140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0000000-0010-0000-1400-000001000000}" name="Organisation + description of co-funding" dataDxfId="248" totalsRowDxfId="247"/>
    <tableColumn id="2" xr3:uid="{00000000-0010-0000-1400-000002000000}" name="Type co-funding" dataDxfId="246" totalsRowDxfId="245"/>
    <tableColumn id="3" xr3:uid="{00000000-0010-0000-1400-000003000000}" name="  " dataDxfId="244" totalsRowDxfId="243"/>
    <tableColumn id="4" xr3:uid="{00000000-0010-0000-1400-000004000000}" name="Nr of units or Nr of hours" dataDxfId="242" totalsRowDxfId="241"/>
    <tableColumn id="5" xr3:uid="{00000000-0010-0000-1400-000005000000}" name="Unit price or hourly rate" totalsRowLabel="Sub total:" dataDxfId="240" totalsRowDxfId="239"/>
    <tableColumn id="6" xr3:uid="{00000000-0010-0000-1400-000006000000}" name="Organisation type" dataDxfId="238" totalsRowDxfId="237"/>
    <tableColumn id="7" xr3:uid="{00000000-0010-0000-1400-000007000000}" name="Name organisation" dataDxfId="236" totalsRowDxfId="235"/>
    <tableColumn id="8" xr3:uid="{00000000-0010-0000-1400-000008000000}" name="Amount" totalsRowFunction="custom" dataDxfId="234" totalsRowDxfId="233">
      <calculatedColumnFormula>inkind[[#This Row],[Nr of units or Nr of hours]]*inkind[[#This Row],[Unit price or hourly rate]]</calculatedColumnFormula>
      <totalsRowFormula>SUM(inkind[Amount])</totalsRowFormula>
    </tableColumn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9731305-35EC-4B35-B140-85543DCF91A6}" name="excess_costs" displayName="excess_costs" ref="A115:H121" totalsRowCount="1" headerRowDxfId="232" tableBorderDxfId="231">
  <tableColumns count="8">
    <tableColumn id="1" xr3:uid="{34751597-F637-440C-9F06-18D82E1CE025}" name="Organisation + Description of coverered costs" dataDxfId="230" totalsRowDxfId="229"/>
    <tableColumn id="2" xr3:uid="{9BFA1682-EEA1-4701-9E2E-1E02713C2CC6}" name=" " dataDxfId="228" totalsRowDxfId="227"/>
    <tableColumn id="3" xr3:uid="{E0F85B6A-0541-4096-A541-2F372CFF3F24}" name="  " dataDxfId="226" totalsRowDxfId="225"/>
    <tableColumn id="4" xr3:uid="{8BC1FD95-9256-46D4-AE0E-32CC8E042CFA}" name="   " dataDxfId="224" totalsRowDxfId="223"/>
    <tableColumn id="5" xr3:uid="{9C8B4520-C8B6-4A81-9C26-F30C07C39EF2}" name="    " totalsRowLabel="Total covering excess costs by host institute:" dataDxfId="222" totalsRowDxfId="221"/>
    <tableColumn id="6" xr3:uid="{4BBA9997-2B97-44CD-B0F3-ADF5263FEF9C}" name="Organisation type" dataDxfId="220" totalsRowDxfId="219"/>
    <tableColumn id="7" xr3:uid="{9717DCFE-92A9-487D-A949-A4EFCDD6DAA2}" name="Name organisation" dataDxfId="218" totalsRowDxfId="217"/>
    <tableColumn id="8" xr3:uid="{B2E834B8-D877-4CB9-BE4A-22970C387CC5}" name="Amount" totalsRowFunction="custom" dataDxfId="216" totalsRowDxfId="215">
      <calculatedColumnFormula>SUM(excess_costs[Amount])</calculatedColumnFormula>
      <totalsRowFormula>SUM(excess_costs[Amount])</totalsRowFormula>
    </tableColumn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16000000}" name="list_academic" displayName="list_academic" ref="C309:C319" totalsRowShown="0" headerRowDxfId="214" dataDxfId="213">
  <autoFilter ref="C309:C319" xr:uid="{00000000-0009-0000-0100-000006000000}"/>
  <tableColumns count="1">
    <tableColumn id="1" xr3:uid="{00000000-0010-0000-1600-000001000000}" name="type institute - academic:" dataDxfId="2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3.xml"/><Relationship Id="rId3" Type="http://schemas.openxmlformats.org/officeDocument/2006/relationships/printerSettings" Target="../printerSettings/printerSettings3.bin"/><Relationship Id="rId7" Type="http://schemas.openxmlformats.org/officeDocument/2006/relationships/table" Target="../tables/table12.xml"/><Relationship Id="rId2" Type="http://schemas.openxmlformats.org/officeDocument/2006/relationships/hyperlink" Target="https://www.nwo.nl/documents/nwo/beleid/money-follows-cooperation/nwo-country-correction-coefficients-ccc" TargetMode="External"/><Relationship Id="rId1" Type="http://schemas.openxmlformats.org/officeDocument/2006/relationships/hyperlink" Target="https://www.iso.org/iso-3166-country-codes.html" TargetMode="External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10" Type="http://schemas.openxmlformats.org/officeDocument/2006/relationships/table" Target="../tables/table15.xml"/><Relationship Id="rId4" Type="http://schemas.openxmlformats.org/officeDocument/2006/relationships/table" Target="../tables/table9.xml"/><Relationship Id="rId9" Type="http://schemas.openxmlformats.org/officeDocument/2006/relationships/table" Target="../tables/table1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2.xml"/><Relationship Id="rId3" Type="http://schemas.openxmlformats.org/officeDocument/2006/relationships/table" Target="../tables/table17.xml"/><Relationship Id="rId7" Type="http://schemas.openxmlformats.org/officeDocument/2006/relationships/table" Target="../tables/table21.xml"/><Relationship Id="rId12" Type="http://schemas.openxmlformats.org/officeDocument/2006/relationships/table" Target="../tables/table26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20.xml"/><Relationship Id="rId11" Type="http://schemas.openxmlformats.org/officeDocument/2006/relationships/table" Target="../tables/table25.xml"/><Relationship Id="rId5" Type="http://schemas.openxmlformats.org/officeDocument/2006/relationships/table" Target="../tables/table19.xml"/><Relationship Id="rId10" Type="http://schemas.openxmlformats.org/officeDocument/2006/relationships/table" Target="../tables/table24.xml"/><Relationship Id="rId4" Type="http://schemas.openxmlformats.org/officeDocument/2006/relationships/table" Target="../tables/table18.xml"/><Relationship Id="rId9" Type="http://schemas.openxmlformats.org/officeDocument/2006/relationships/table" Target="../tables/table2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4"/>
  <dimension ref="A1:N64"/>
  <sheetViews>
    <sheetView showGridLines="0" zoomScale="115" zoomScaleNormal="115" workbookViewId="0">
      <selection activeCell="B14" sqref="B14"/>
    </sheetView>
  </sheetViews>
  <sheetFormatPr defaultColWidth="0" defaultRowHeight="14.4" zeroHeight="1" x14ac:dyDescent="0.3"/>
  <cols>
    <col min="1" max="1" width="29.77734375" style="95" customWidth="1"/>
    <col min="2" max="2" width="11.77734375" style="95" customWidth="1"/>
    <col min="3" max="3" width="11.21875" style="95" customWidth="1"/>
    <col min="4" max="4" width="11.44140625" style="95" customWidth="1"/>
    <col min="5" max="8" width="9.21875" style="95" customWidth="1"/>
    <col min="9" max="9" width="24" style="95" customWidth="1"/>
    <col min="10" max="10" width="11.21875" style="95" customWidth="1"/>
    <col min="11" max="14" width="9.21875" style="95" customWidth="1"/>
    <col min="15" max="16384" width="9.21875" style="95" hidden="1"/>
  </cols>
  <sheetData>
    <row r="1" spans="1:10" ht="18" x14ac:dyDescent="0.35">
      <c r="A1" s="130" t="s">
        <v>643</v>
      </c>
      <c r="D1" s="96"/>
      <c r="G1" s="96"/>
    </row>
    <row r="2" spans="1:10" x14ac:dyDescent="0.3">
      <c r="A2" s="131" t="s">
        <v>560</v>
      </c>
      <c r="B2" s="356" t="str">
        <f>callnaam</f>
        <v>Budget form NWO Talent Programme Vici 2026</v>
      </c>
      <c r="C2" s="357"/>
      <c r="D2" s="96"/>
      <c r="G2" s="96"/>
    </row>
    <row r="3" spans="1:10" x14ac:dyDescent="0.3">
      <c r="A3" s="132" t="s">
        <v>710</v>
      </c>
      <c r="B3" s="358">
        <f>VSNU_rates</f>
        <v>46204</v>
      </c>
      <c r="C3" s="359"/>
      <c r="D3" s="96"/>
      <c r="G3" s="96"/>
    </row>
    <row r="4" spans="1:10" x14ac:dyDescent="0.3">
      <c r="A4" s="132" t="s">
        <v>538</v>
      </c>
      <c r="B4" s="358">
        <f>NFU_rates</f>
        <v>46204</v>
      </c>
      <c r="C4" s="359"/>
      <c r="D4" s="96"/>
      <c r="E4" s="97"/>
      <c r="F4" s="98"/>
      <c r="G4" s="96"/>
    </row>
    <row r="5" spans="1:10" x14ac:dyDescent="0.3">
      <c r="A5" s="132" t="s">
        <v>711</v>
      </c>
      <c r="B5" s="360">
        <f>HOT_rates</f>
        <v>2026</v>
      </c>
      <c r="C5" s="361"/>
      <c r="D5" s="96"/>
      <c r="E5" s="97"/>
      <c r="F5" s="98"/>
      <c r="G5" s="96"/>
    </row>
    <row r="6" spans="1:10" x14ac:dyDescent="0.3">
      <c r="A6" s="132" t="s">
        <v>1</v>
      </c>
      <c r="B6" s="360" t="str">
        <f>IF(ISBLANK(File_number),"-",File_number)</f>
        <v>-</v>
      </c>
      <c r="C6" s="361"/>
      <c r="D6" s="96"/>
      <c r="E6" s="97"/>
      <c r="F6" s="98"/>
      <c r="G6" s="96"/>
    </row>
    <row r="7" spans="1:10" x14ac:dyDescent="0.3">
      <c r="A7" s="132" t="s">
        <v>561</v>
      </c>
      <c r="B7" s="354" t="str">
        <f>cash_invoice</f>
        <v>knowledge institute</v>
      </c>
      <c r="C7" s="355"/>
      <c r="D7" s="96"/>
      <c r="E7" s="97"/>
      <c r="F7" s="98"/>
      <c r="G7" s="96"/>
    </row>
    <row r="8" spans="1:10" x14ac:dyDescent="0.3">
      <c r="A8" s="99"/>
      <c r="B8" s="96"/>
      <c r="C8" s="96"/>
      <c r="D8" s="96"/>
      <c r="E8" s="96"/>
      <c r="F8" s="96"/>
      <c r="G8" s="96"/>
    </row>
    <row r="9" spans="1:10" ht="18" x14ac:dyDescent="0.35">
      <c r="A9" s="130" t="s">
        <v>562</v>
      </c>
      <c r="B9" s="96"/>
      <c r="C9" s="96"/>
      <c r="D9" s="96"/>
      <c r="E9" s="96"/>
      <c r="F9" s="96"/>
      <c r="G9" s="96"/>
    </row>
    <row r="10" spans="1:10" ht="15" thickBot="1" x14ac:dyDescent="0.35">
      <c r="A10" s="162" t="s">
        <v>563</v>
      </c>
      <c r="B10" s="163" t="s">
        <v>10</v>
      </c>
      <c r="C10"/>
      <c r="D10"/>
      <c r="E10"/>
      <c r="F10"/>
      <c r="G10"/>
      <c r="H10"/>
      <c r="I10"/>
      <c r="J10" s="133"/>
    </row>
    <row r="11" spans="1:10" x14ac:dyDescent="0.3">
      <c r="A11" s="134" t="s">
        <v>564</v>
      </c>
      <c r="B11" s="135">
        <f ca="1">Total_personnel_costs</f>
        <v>0</v>
      </c>
      <c r="C11"/>
      <c r="D11"/>
      <c r="E11"/>
      <c r="F11"/>
      <c r="G11"/>
      <c r="H11"/>
      <c r="I11"/>
    </row>
    <row r="12" spans="1:10" x14ac:dyDescent="0.3">
      <c r="A12" s="136" t="s">
        <v>565</v>
      </c>
      <c r="B12" s="137">
        <f ca="1">Total_personnel_ac_institutes+Total_benchfee</f>
        <v>0</v>
      </c>
      <c r="C12"/>
      <c r="D12"/>
      <c r="E12"/>
      <c r="F12"/>
      <c r="G12"/>
      <c r="H12"/>
      <c r="I12"/>
    </row>
    <row r="13" spans="1:10" x14ac:dyDescent="0.3">
      <c r="A13" s="136" t="s">
        <v>539</v>
      </c>
      <c r="B13" s="137">
        <f>Total_personnel_other</f>
        <v>0</v>
      </c>
      <c r="C13"/>
      <c r="D13"/>
      <c r="E13"/>
      <c r="F13"/>
      <c r="G13"/>
      <c r="H13"/>
      <c r="I13"/>
    </row>
    <row r="14" spans="1:10" ht="15.6" x14ac:dyDescent="0.3">
      <c r="A14" s="138" t="s">
        <v>540</v>
      </c>
      <c r="B14" s="139">
        <f>Total_material_costs</f>
        <v>0</v>
      </c>
      <c r="C14"/>
      <c r="D14"/>
      <c r="E14"/>
      <c r="F14"/>
      <c r="G14"/>
      <c r="H14"/>
      <c r="I14"/>
      <c r="J14" s="100"/>
    </row>
    <row r="15" spans="1:10" ht="15.6" x14ac:dyDescent="0.3">
      <c r="A15" s="138" t="s">
        <v>566</v>
      </c>
      <c r="B15" s="139">
        <f>_xlfn.SINGLE(Total_investments)+_xlfn.SINGLE(Total_invest_by_KI)</f>
        <v>0</v>
      </c>
      <c r="C15"/>
      <c r="D15"/>
      <c r="E15"/>
      <c r="F15"/>
      <c r="G15"/>
      <c r="H15"/>
      <c r="I15"/>
      <c r="J15" s="100"/>
    </row>
    <row r="16" spans="1:10" ht="15.6" x14ac:dyDescent="0.3">
      <c r="A16" s="138" t="s">
        <v>635</v>
      </c>
      <c r="B16" s="139">
        <f>Total_Knowledge_utilisation</f>
        <v>0</v>
      </c>
      <c r="C16"/>
      <c r="D16"/>
      <c r="E16"/>
      <c r="F16"/>
      <c r="G16"/>
      <c r="H16"/>
      <c r="I16"/>
      <c r="J16" s="100"/>
    </row>
    <row r="17" spans="1:10" ht="15.6" x14ac:dyDescent="0.3">
      <c r="A17" s="138" t="s">
        <v>541</v>
      </c>
      <c r="B17" s="139">
        <f>_xlfn.SINGLE(Total_project_mngmnt)</f>
        <v>0</v>
      </c>
      <c r="C17"/>
      <c r="D17"/>
      <c r="E17"/>
      <c r="F17"/>
      <c r="G17"/>
      <c r="H17"/>
      <c r="I17"/>
      <c r="J17" s="100"/>
    </row>
    <row r="18" spans="1:10" ht="15" customHeight="1" x14ac:dyDescent="0.3">
      <c r="A18" s="140" t="s">
        <v>567</v>
      </c>
      <c r="B18" s="141" cm="1">
        <f t="array" aca="1" ref="B18" ca="1">Total_personnel_costs+Total_material_costs+Total_investments+Total_Knowledge_utilisation+Total_project_mngmnt</f>
        <v>0</v>
      </c>
      <c r="C18"/>
      <c r="D18"/>
      <c r="E18"/>
      <c r="F18"/>
      <c r="G18"/>
      <c r="H18"/>
      <c r="I18"/>
      <c r="J18" s="100"/>
    </row>
    <row r="19" spans="1:10" ht="15.6" x14ac:dyDescent="0.3">
      <c r="A19" s="100"/>
      <c r="B19" s="103"/>
      <c r="C19"/>
      <c r="D19" s="103"/>
      <c r="E19" s="103"/>
      <c r="F19" s="103"/>
      <c r="G19" s="103"/>
      <c r="H19" s="103"/>
      <c r="I19" s="103"/>
      <c r="J19" s="100"/>
    </row>
    <row r="20" spans="1:10" ht="18" x14ac:dyDescent="0.35">
      <c r="A20" s="161" t="s">
        <v>568</v>
      </c>
      <c r="B20" s="103"/>
      <c r="C20"/>
      <c r="D20" s="103"/>
      <c r="E20" s="103"/>
      <c r="F20" s="103"/>
      <c r="G20" s="103"/>
      <c r="H20" s="103"/>
      <c r="I20" s="103"/>
      <c r="J20" s="100"/>
    </row>
    <row r="21" spans="1:10" ht="15.6" x14ac:dyDescent="0.3">
      <c r="A21" s="142" t="s">
        <v>583</v>
      </c>
      <c r="B21" s="143" t="s">
        <v>10</v>
      </c>
      <c r="C21" s="144" t="s">
        <v>569</v>
      </c>
      <c r="D21" s="143" t="s">
        <v>570</v>
      </c>
      <c r="E21" s="145"/>
      <c r="F21" s="103"/>
      <c r="G21" s="103"/>
      <c r="H21" s="103"/>
      <c r="I21" s="103"/>
      <c r="J21" s="100"/>
    </row>
    <row r="22" spans="1:10" ht="15.6" x14ac:dyDescent="0.3">
      <c r="A22" s="146" t="s">
        <v>571</v>
      </c>
      <c r="B22" s="147">
        <f ca="1">Total_NWO_funding</f>
        <v>0</v>
      </c>
      <c r="C22" s="147">
        <f ca="1">Total_NWO_funding</f>
        <v>0</v>
      </c>
      <c r="D22" s="147" t="s">
        <v>572</v>
      </c>
      <c r="E22" s="145"/>
      <c r="F22" s="103"/>
      <c r="G22" s="103"/>
      <c r="H22" s="103"/>
      <c r="I22" s="103"/>
      <c r="J22" s="100"/>
    </row>
    <row r="23" spans="1:10" ht="15.6" x14ac:dyDescent="0.3">
      <c r="A23" s="148" t="s">
        <v>573</v>
      </c>
      <c r="B23" s="149">
        <f>Total_cofunding_inkind</f>
        <v>0</v>
      </c>
      <c r="C23" s="150" t="s">
        <v>572</v>
      </c>
      <c r="D23" s="149" t="s">
        <v>572</v>
      </c>
      <c r="E23" s="145"/>
      <c r="F23" s="103"/>
      <c r="G23" s="103"/>
      <c r="H23" s="103"/>
      <c r="I23" s="103"/>
      <c r="J23" s="100"/>
    </row>
    <row r="24" spans="1:10" ht="15.6" x14ac:dyDescent="0.3">
      <c r="A24" s="148" t="s">
        <v>574</v>
      </c>
      <c r="B24" s="149">
        <f>_xlfn.SINGLE(Total_invest_by_KI)</f>
        <v>0</v>
      </c>
      <c r="C24" s="150" t="s">
        <v>572</v>
      </c>
      <c r="D24" s="149">
        <f>_xlfn.SINGLE(Total_invest_by_KI)</f>
        <v>0</v>
      </c>
      <c r="E24" s="145"/>
      <c r="F24" s="103"/>
      <c r="G24" s="103"/>
      <c r="H24" s="103"/>
      <c r="I24" s="103"/>
      <c r="J24" s="100"/>
    </row>
    <row r="25" spans="1:10" ht="15.6" x14ac:dyDescent="0.3">
      <c r="A25" s="148" t="s">
        <v>575</v>
      </c>
      <c r="B25" s="149">
        <f>Total_cofunding_incash</f>
        <v>0</v>
      </c>
      <c r="C25" s="147">
        <f>IF(cash_invoice="NWO",Total_cofunding_incash,0)</f>
        <v>0</v>
      </c>
      <c r="D25" s="149">
        <f>Total_cofunding_incash-C25</f>
        <v>0</v>
      </c>
      <c r="E25" s="145"/>
      <c r="F25" s="103"/>
      <c r="G25" s="103"/>
      <c r="H25" s="103"/>
      <c r="I25" s="103"/>
      <c r="J25" s="100"/>
    </row>
    <row r="26" spans="1:10" ht="15.6" x14ac:dyDescent="0.3">
      <c r="A26" s="148" t="s">
        <v>576</v>
      </c>
      <c r="B26" s="149">
        <f>_xlfn.SINGLE(Total_projectfee)</f>
        <v>0</v>
      </c>
      <c r="C26" s="147">
        <f>_xlfn.SINGLE(IF(cash_invoice="NWO",Total_projectfee,0))</f>
        <v>0</v>
      </c>
      <c r="D26" s="149">
        <f>_xlfn.SINGLE(Total_projectfee)-C26</f>
        <v>0</v>
      </c>
      <c r="E26" s="145"/>
      <c r="F26" s="103"/>
      <c r="G26" s="103"/>
      <c r="H26" s="103"/>
      <c r="I26" s="103"/>
      <c r="J26" s="100"/>
    </row>
    <row r="27" spans="1:10" ht="15.6" x14ac:dyDescent="0.3">
      <c r="A27" s="151" t="s">
        <v>577</v>
      </c>
      <c r="B27" s="152" cm="1">
        <f t="array" ref="B27">Total_invest_by_KI+Total_incash_cofunding+Total_projectfee</f>
        <v>0</v>
      </c>
      <c r="C27" s="153">
        <f>SUM(C24:C26)</f>
        <v>0</v>
      </c>
      <c r="D27" s="152">
        <f>SUM(D23:D26)</f>
        <v>0</v>
      </c>
      <c r="E27" s="145"/>
      <c r="F27" s="103"/>
      <c r="G27" s="103"/>
      <c r="H27" s="103"/>
      <c r="I27" s="103"/>
      <c r="J27" s="100"/>
    </row>
    <row r="28" spans="1:10" ht="15.6" x14ac:dyDescent="0.3">
      <c r="A28" s="154" t="s">
        <v>578</v>
      </c>
      <c r="B28" s="155">
        <f ca="1">SUM(B22:B26)</f>
        <v>0</v>
      </c>
      <c r="C28" s="156">
        <f ca="1">SUM(C22:C26)</f>
        <v>0</v>
      </c>
      <c r="D28" s="155">
        <f>SUM(D22:D26)</f>
        <v>0</v>
      </c>
      <c r="E28" s="145"/>
      <c r="F28" s="103"/>
      <c r="G28" s="103"/>
      <c r="H28" s="103"/>
      <c r="I28" s="103"/>
      <c r="J28" s="100"/>
    </row>
    <row r="29" spans="1:10" ht="15.6" x14ac:dyDescent="0.3">
      <c r="E29" s="145"/>
      <c r="F29" s="103"/>
      <c r="G29" s="103"/>
      <c r="H29" s="103"/>
      <c r="I29" s="103"/>
      <c r="J29" s="100"/>
    </row>
    <row r="30" spans="1:10" ht="15.6" x14ac:dyDescent="0.3">
      <c r="A30" s="157" t="s">
        <v>579</v>
      </c>
      <c r="B30" s="158">
        <f ca="1">Total_resources+Total_cofunding_inkind</f>
        <v>0</v>
      </c>
      <c r="C30" s="159"/>
      <c r="D30" s="145"/>
      <c r="E30" s="145"/>
      <c r="F30" s="103"/>
      <c r="G30" s="103"/>
      <c r="H30" s="103"/>
      <c r="I30" s="103"/>
      <c r="J30" s="100"/>
    </row>
    <row r="31" spans="1:10" ht="15.6" x14ac:dyDescent="0.3">
      <c r="A31" s="157" t="s">
        <v>580</v>
      </c>
      <c r="B31" s="158">
        <f ca="1">Total_NWO_funding</f>
        <v>0</v>
      </c>
      <c r="C31" s="159"/>
      <c r="D31" s="145"/>
      <c r="E31" s="145"/>
      <c r="F31" s="103"/>
      <c r="G31" s="103"/>
      <c r="H31" s="103"/>
      <c r="I31" s="103"/>
      <c r="J31" s="100"/>
    </row>
    <row r="32" spans="1:10" ht="15.6" x14ac:dyDescent="0.3">
      <c r="A32" s="157" t="s">
        <v>581</v>
      </c>
      <c r="B32" s="158">
        <f ca="1">Total_cash_via_NWO</f>
        <v>0</v>
      </c>
      <c r="C32" s="159"/>
      <c r="D32" s="145"/>
      <c r="E32" s="145"/>
      <c r="F32" s="103"/>
      <c r="G32" s="103"/>
      <c r="H32" s="103"/>
      <c r="I32" s="103"/>
      <c r="J32" s="100"/>
    </row>
    <row r="33" spans="1:10" ht="15.6" x14ac:dyDescent="0.3">
      <c r="A33" s="100"/>
      <c r="B33" s="103"/>
      <c r="C33"/>
      <c r="D33" s="103"/>
      <c r="E33" s="103"/>
      <c r="F33" s="103"/>
      <c r="G33" s="103"/>
      <c r="H33" s="103"/>
      <c r="I33" s="103"/>
      <c r="J33" s="100"/>
    </row>
    <row r="34" spans="1:10" ht="18" x14ac:dyDescent="0.35">
      <c r="A34" s="130" t="s">
        <v>612</v>
      </c>
      <c r="B34" s="103"/>
      <c r="C34"/>
      <c r="E34" s="103"/>
      <c r="F34" s="103"/>
      <c r="G34" s="220">
        <f ca="1">IFERROR(MATCH("Co-funding",Budget!A1:A8043,0),999)</f>
        <v>999</v>
      </c>
      <c r="H34" s="103"/>
      <c r="I34" s="160" t="s">
        <v>582</v>
      </c>
      <c r="J34" s="100"/>
    </row>
    <row r="35" spans="1:10" ht="14.25" customHeight="1" x14ac:dyDescent="0.3">
      <c r="A35"/>
      <c r="B35"/>
      <c r="C35"/>
      <c r="D35" s="103"/>
      <c r="E35" s="103"/>
      <c r="F35" s="103"/>
      <c r="G35" s="103"/>
      <c r="H35" s="103"/>
      <c r="I35"/>
      <c r="J35"/>
    </row>
    <row r="36" spans="1:10" ht="15.6" x14ac:dyDescent="0.3">
      <c r="A36"/>
      <c r="B36"/>
      <c r="C36"/>
      <c r="D36" s="103"/>
      <c r="E36" s="103"/>
      <c r="F36" s="103"/>
      <c r="G36" s="103"/>
      <c r="H36" s="103"/>
      <c r="I36"/>
      <c r="J36"/>
    </row>
    <row r="37" spans="1:10" x14ac:dyDescent="0.3">
      <c r="A37"/>
      <c r="B37"/>
      <c r="C37"/>
      <c r="D37" s="101"/>
      <c r="E37" s="102" t="s">
        <v>151</v>
      </c>
      <c r="F37" s="96"/>
      <c r="G37" s="96"/>
      <c r="I37"/>
      <c r="J37"/>
    </row>
    <row r="38" spans="1:10" ht="15.6" x14ac:dyDescent="0.3">
      <c r="A38"/>
      <c r="B38"/>
      <c r="C38"/>
      <c r="D38" s="103"/>
      <c r="E38" s="96"/>
      <c r="F38" s="96" t="s">
        <v>151</v>
      </c>
      <c r="G38" s="96"/>
      <c r="I38"/>
      <c r="J38"/>
    </row>
    <row r="39" spans="1:10" ht="15.6" x14ac:dyDescent="0.3">
      <c r="A39"/>
      <c r="B39"/>
      <c r="C39"/>
      <c r="D39" s="103"/>
      <c r="E39" s="96"/>
      <c r="F39" s="96"/>
      <c r="G39" s="96"/>
      <c r="I39"/>
      <c r="J39"/>
    </row>
    <row r="40" spans="1:10" ht="15.6" x14ac:dyDescent="0.3">
      <c r="A40"/>
      <c r="B40"/>
      <c r="C40"/>
      <c r="D40" s="104"/>
      <c r="E40" s="96"/>
      <c r="F40" s="96"/>
      <c r="G40" s="96"/>
      <c r="I40"/>
      <c r="J40"/>
    </row>
    <row r="41" spans="1:10" x14ac:dyDescent="0.3">
      <c r="A41"/>
      <c r="B41"/>
      <c r="C41"/>
      <c r="D41" s="96"/>
      <c r="E41" s="96"/>
      <c r="F41" s="96"/>
      <c r="G41" s="96"/>
      <c r="I41"/>
      <c r="J41"/>
    </row>
    <row r="42" spans="1:10" x14ac:dyDescent="0.3">
      <c r="A42"/>
      <c r="B42"/>
      <c r="C42"/>
      <c r="D42" s="96"/>
      <c r="E42" s="96" t="s">
        <v>151</v>
      </c>
      <c r="F42" s="96"/>
      <c r="G42" s="96"/>
      <c r="I42"/>
      <c r="J42"/>
    </row>
    <row r="43" spans="1:10" x14ac:dyDescent="0.3">
      <c r="A43"/>
      <c r="B43"/>
      <c r="C43"/>
      <c r="D43" s="96"/>
      <c r="E43" s="96"/>
      <c r="F43" s="96"/>
      <c r="G43" s="96"/>
      <c r="I43"/>
      <c r="J43"/>
    </row>
    <row r="44" spans="1:10" x14ac:dyDescent="0.3">
      <c r="A44"/>
      <c r="B44"/>
      <c r="C44"/>
      <c r="D44" s="96"/>
      <c r="E44" s="96"/>
      <c r="F44" s="96"/>
      <c r="G44" s="96"/>
      <c r="I44"/>
      <c r="J44"/>
    </row>
    <row r="45" spans="1:10" x14ac:dyDescent="0.3">
      <c r="A45"/>
      <c r="B45"/>
      <c r="C45"/>
      <c r="I45"/>
      <c r="J45"/>
    </row>
    <row r="46" spans="1:10" x14ac:dyDescent="0.3">
      <c r="A46"/>
      <c r="B46"/>
      <c r="C46"/>
      <c r="I46"/>
      <c r="J46"/>
    </row>
    <row r="47" spans="1:10" x14ac:dyDescent="0.3">
      <c r="A47"/>
      <c r="B47"/>
      <c r="C47"/>
      <c r="I47"/>
      <c r="J47"/>
    </row>
    <row r="48" spans="1:10" x14ac:dyDescent="0.3">
      <c r="A48"/>
      <c r="B48"/>
      <c r="C48"/>
      <c r="I48"/>
      <c r="J48"/>
    </row>
    <row r="49" spans="1:10" x14ac:dyDescent="0.3">
      <c r="A49"/>
      <c r="B49"/>
      <c r="C49"/>
      <c r="I49"/>
      <c r="J49"/>
    </row>
    <row r="50" spans="1:10" x14ac:dyDescent="0.3">
      <c r="A50"/>
      <c r="B50"/>
      <c r="C50"/>
      <c r="I50"/>
      <c r="J50"/>
    </row>
    <row r="51" spans="1:10" x14ac:dyDescent="0.3">
      <c r="A51"/>
      <c r="B51"/>
      <c r="C51"/>
      <c r="I51"/>
      <c r="J51"/>
    </row>
    <row r="52" spans="1:10" x14ac:dyDescent="0.3">
      <c r="A52"/>
      <c r="B52"/>
      <c r="C52"/>
      <c r="I52"/>
      <c r="J52"/>
    </row>
    <row r="53" spans="1:10" x14ac:dyDescent="0.3">
      <c r="A53"/>
      <c r="B53"/>
      <c r="C53"/>
    </row>
    <row r="54" spans="1:10" x14ac:dyDescent="0.3"/>
    <row r="55" spans="1:10" x14ac:dyDescent="0.3"/>
    <row r="56" spans="1:10" x14ac:dyDescent="0.3"/>
    <row r="57" spans="1:10" x14ac:dyDescent="0.3"/>
    <row r="58" spans="1:10" x14ac:dyDescent="0.3"/>
    <row r="59" spans="1:10" x14ac:dyDescent="0.3"/>
    <row r="60" spans="1:10" x14ac:dyDescent="0.3"/>
    <row r="61" spans="1:10" x14ac:dyDescent="0.3"/>
    <row r="62" spans="1:10" x14ac:dyDescent="0.3"/>
    <row r="63" spans="1:10" x14ac:dyDescent="0.3"/>
    <row r="64" spans="1:10" x14ac:dyDescent="0.3"/>
  </sheetData>
  <sheetProtection algorithmName="SHA-512" hashValue="mccGX0U+bXKAY6sIOggP6ikFCR7UCXTQaOjXCOppakpmdTCrKh2nMEoDjvYjpMNRJta0b9WiyHHrl8CtytJZKQ==" saltValue="Ihm8NZxPqcn+rs4YSZBRXg==" spinCount="100000" sheet="1" objects="1" scenarios="1"/>
  <mergeCells count="6">
    <mergeCell ref="B7:C7"/>
    <mergeCell ref="B2:C2"/>
    <mergeCell ref="B3:C3"/>
    <mergeCell ref="B4:C4"/>
    <mergeCell ref="B5:C5"/>
    <mergeCell ref="B6:C6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pageSetUpPr fitToPage="1"/>
  </sheetPr>
  <dimension ref="A1:M762"/>
  <sheetViews>
    <sheetView showGridLines="0" tabSelected="1" zoomScale="69" zoomScaleNormal="100" workbookViewId="0">
      <selection activeCell="I20" sqref="I20"/>
    </sheetView>
  </sheetViews>
  <sheetFormatPr defaultColWidth="0" defaultRowHeight="14.4" zeroHeight="1" x14ac:dyDescent="0.3"/>
  <cols>
    <col min="1" max="1" width="42" style="1" customWidth="1"/>
    <col min="2" max="3" width="12.77734375" style="1" customWidth="1"/>
    <col min="4" max="5" width="21.77734375" style="1" customWidth="1"/>
    <col min="6" max="7" width="30.77734375" style="1" hidden="1" customWidth="1"/>
    <col min="8" max="8" width="16.77734375" style="1" customWidth="1"/>
    <col min="9" max="9" width="75.21875" style="1" customWidth="1"/>
    <col min="10" max="10" width="18.21875" style="1" hidden="1" customWidth="1"/>
    <col min="11" max="11" width="20.44140625" style="159" hidden="1" customWidth="1"/>
    <col min="12" max="12" width="24.21875" style="159" hidden="1" customWidth="1"/>
    <col min="13" max="13" width="13.44140625" style="159" hidden="1" customWidth="1"/>
    <col min="14" max="16384" width="5.77734375" hidden="1"/>
  </cols>
  <sheetData>
    <row r="1" spans="1:13" ht="93" customHeight="1" x14ac:dyDescent="0.3">
      <c r="A1" s="337" t="s">
        <v>764</v>
      </c>
      <c r="B1" s="337"/>
      <c r="C1" s="337"/>
      <c r="D1" s="337"/>
      <c r="E1" s="337"/>
      <c r="F1" s="337"/>
      <c r="G1" s="337"/>
      <c r="H1" s="337"/>
      <c r="I1" s="334" t="s">
        <v>765</v>
      </c>
      <c r="J1" s="2"/>
    </row>
    <row r="2" spans="1:13" ht="15" customHeight="1" x14ac:dyDescent="0.3">
      <c r="A2" s="3" t="s">
        <v>542</v>
      </c>
      <c r="B2" s="94"/>
      <c r="C2" s="335" t="s">
        <v>734</v>
      </c>
      <c r="D2" s="336"/>
      <c r="E2" s="347"/>
      <c r="F2" s="348"/>
      <c r="G2" s="348"/>
      <c r="H2" s="349"/>
      <c r="I2" s="334"/>
      <c r="J2" s="209"/>
    </row>
    <row r="3" spans="1:13" ht="16.95" customHeight="1" x14ac:dyDescent="0.3">
      <c r="A3" s="15" t="s">
        <v>0</v>
      </c>
      <c r="B3" s="344"/>
      <c r="C3" s="345"/>
      <c r="D3" s="345"/>
      <c r="E3" s="345"/>
      <c r="F3" s="345"/>
      <c r="G3" s="345"/>
      <c r="H3" s="346"/>
      <c r="I3" s="334"/>
      <c r="J3" s="209"/>
    </row>
    <row r="4" spans="1:13" ht="13.95" customHeight="1" x14ac:dyDescent="0.3">
      <c r="A4" s="319" t="s">
        <v>743</v>
      </c>
      <c r="B4" s="320"/>
      <c r="C4" s="321"/>
      <c r="D4" s="321"/>
      <c r="E4" s="321"/>
      <c r="F4" s="321"/>
      <c r="G4" s="321"/>
      <c r="H4" s="322"/>
      <c r="I4" s="259" t="str">
        <f ca="1">IF(AND(Total_NWO_funding&gt;0,B4=""),"Please provide name of host institute.","")</f>
        <v/>
      </c>
      <c r="J4" s="209"/>
    </row>
    <row r="5" spans="1:13" ht="12.75" customHeight="1" x14ac:dyDescent="0.3">
      <c r="A5" s="4" t="s">
        <v>1</v>
      </c>
      <c r="B5" s="347"/>
      <c r="C5" s="348"/>
      <c r="D5" s="348"/>
      <c r="E5" s="348"/>
      <c r="F5" s="348"/>
      <c r="G5" s="348"/>
      <c r="H5" s="349"/>
      <c r="I5" s="259" t="str">
        <f ca="1">IF(AND(Total_NWO_funding&gt;0,File_number=""),checks!$B$28,"")</f>
        <v/>
      </c>
      <c r="J5" s="209"/>
    </row>
    <row r="6" spans="1:13" ht="5.0999999999999996" customHeight="1" x14ac:dyDescent="0.3">
      <c r="A6" s="341"/>
      <c r="B6" s="342"/>
      <c r="C6" s="343"/>
      <c r="D6" s="343"/>
      <c r="E6" s="343"/>
      <c r="F6" s="343"/>
      <c r="G6" s="5"/>
    </row>
    <row r="7" spans="1:13" ht="15.75" customHeight="1" x14ac:dyDescent="0.3">
      <c r="A7" s="182" t="s">
        <v>2</v>
      </c>
      <c r="B7" s="183"/>
      <c r="C7" s="183"/>
      <c r="D7" s="183"/>
      <c r="E7" s="183"/>
      <c r="F7" s="183"/>
      <c r="G7" s="184"/>
      <c r="H7" s="6" t="s">
        <v>3</v>
      </c>
      <c r="I7" s="18"/>
    </row>
    <row r="8" spans="1:13" ht="12.75" customHeight="1" x14ac:dyDescent="0.3">
      <c r="A8" s="166" t="s">
        <v>740</v>
      </c>
      <c r="B8" s="167"/>
      <c r="C8" s="167"/>
      <c r="D8" s="167"/>
      <c r="E8" s="167"/>
      <c r="F8" s="167"/>
      <c r="G8" s="168"/>
      <c r="H8" s="129" cm="1">
        <f t="array" aca="1" ref="H8" ca="1">Total_NWO_funding+Total_cofunding+Total_excess_costs</f>
        <v>0</v>
      </c>
      <c r="I8" s="213"/>
    </row>
    <row r="9" spans="1:13" ht="12.75" customHeight="1" x14ac:dyDescent="0.3">
      <c r="A9" s="166" t="s">
        <v>147</v>
      </c>
      <c r="B9" s="167"/>
      <c r="C9" s="167"/>
      <c r="D9" s="167"/>
      <c r="E9" s="167"/>
      <c r="F9" s="167"/>
      <c r="G9" s="168"/>
      <c r="H9" s="129" cm="1">
        <f t="array" aca="1" ref="H9" ca="1">Total_personnel_costs+Total_material_costs+Total_investments+Total_Knowledge_utilisation-Total_cofunding_incash-Total_excess_costs</f>
        <v>0</v>
      </c>
      <c r="I9" s="213" t="str">
        <f ca="1">IF(Total_NWO_funding&gt;Max_NWO_funding,checks!$B$33,"")</f>
        <v/>
      </c>
      <c r="J9" s="9"/>
    </row>
    <row r="10" spans="1:13" ht="12.75" customHeight="1" x14ac:dyDescent="0.3">
      <c r="A10" s="166" t="s">
        <v>741</v>
      </c>
      <c r="B10" s="167"/>
      <c r="C10" s="167"/>
      <c r="D10" s="167"/>
      <c r="E10" s="167"/>
      <c r="F10" s="167"/>
      <c r="G10" s="168"/>
      <c r="H10" s="129" cm="1">
        <f t="array" ref="H10">Total_excess_costs</f>
        <v>0</v>
      </c>
      <c r="I10" s="213"/>
      <c r="J10" s="9"/>
    </row>
    <row r="11" spans="1:13" ht="12.75" customHeight="1" x14ac:dyDescent="0.3">
      <c r="A11" s="169" t="s">
        <v>182</v>
      </c>
      <c r="B11" s="170"/>
      <c r="C11" s="170"/>
      <c r="D11" s="170"/>
      <c r="E11" s="170"/>
      <c r="F11" s="170"/>
      <c r="G11" s="171"/>
      <c r="H11" s="129" cm="1">
        <f t="array" ref="H11">Total_cofunding_inkind</f>
        <v>0</v>
      </c>
      <c r="I11" s="213"/>
      <c r="J11" s="9"/>
    </row>
    <row r="12" spans="1:13" ht="12.75" customHeight="1" x14ac:dyDescent="0.3">
      <c r="A12" s="169" t="s">
        <v>181</v>
      </c>
      <c r="B12" s="170"/>
      <c r="C12" s="170"/>
      <c r="D12" s="170"/>
      <c r="E12" s="170"/>
      <c r="F12" s="170"/>
      <c r="G12" s="171"/>
      <c r="H12" s="129" cm="1">
        <f t="array" ref="H12">Total_cofunding_incash</f>
        <v>0</v>
      </c>
      <c r="I12" s="213"/>
      <c r="J12" s="9"/>
    </row>
    <row r="13" spans="1:13" ht="12.75" customHeight="1" x14ac:dyDescent="0.3">
      <c r="A13" s="169" t="s">
        <v>4</v>
      </c>
      <c r="B13" s="170"/>
      <c r="C13" s="170"/>
      <c r="D13" s="170"/>
      <c r="E13" s="170"/>
      <c r="F13" s="170"/>
      <c r="G13" s="171"/>
      <c r="H13" s="129">
        <f>Total_cofunding</f>
        <v>0</v>
      </c>
      <c r="I13" s="213"/>
      <c r="J13" s="9"/>
    </row>
    <row r="14" spans="1:13" x14ac:dyDescent="0.3">
      <c r="A14" s="341"/>
      <c r="B14" s="342"/>
      <c r="C14" s="342"/>
      <c r="D14" s="342"/>
      <c r="E14" s="342"/>
      <c r="F14" s="342"/>
      <c r="G14" s="185"/>
      <c r="H14" s="9"/>
      <c r="I14" s="300"/>
      <c r="J14" s="9"/>
    </row>
    <row r="15" spans="1:13" ht="15.6" x14ac:dyDescent="0.3">
      <c r="A15" s="350" t="s">
        <v>5</v>
      </c>
      <c r="B15" s="351"/>
      <c r="C15" s="351"/>
      <c r="D15" s="351"/>
      <c r="E15" s="351"/>
      <c r="F15" s="351"/>
      <c r="G15" s="351"/>
      <c r="H15" s="352"/>
      <c r="J15" s="287"/>
      <c r="K15" s="288"/>
      <c r="L15" s="288"/>
      <c r="M15" s="289"/>
    </row>
    <row r="16" spans="1:13" ht="12.75" customHeight="1" x14ac:dyDescent="0.3">
      <c r="A16" s="166" t="s">
        <v>34</v>
      </c>
      <c r="B16" s="167"/>
      <c r="C16" s="167"/>
      <c r="D16" s="167"/>
      <c r="E16" s="167"/>
      <c r="F16" s="167"/>
      <c r="G16" s="167"/>
      <c r="H16" s="168"/>
      <c r="I16" s="8"/>
      <c r="J16" s="166"/>
      <c r="K16" s="167"/>
      <c r="L16" s="167"/>
      <c r="M16" s="168"/>
    </row>
    <row r="17" spans="1:13" ht="15.45" customHeight="1" x14ac:dyDescent="0.3">
      <c r="A17" s="25" t="s">
        <v>31</v>
      </c>
      <c r="B17" s="25" t="s">
        <v>742</v>
      </c>
      <c r="C17" s="26" t="s">
        <v>32</v>
      </c>
      <c r="D17" s="26" t="s">
        <v>33</v>
      </c>
      <c r="E17" s="26" t="s">
        <v>49</v>
      </c>
      <c r="F17" s="30" t="s">
        <v>39</v>
      </c>
      <c r="G17" s="30" t="s">
        <v>599</v>
      </c>
      <c r="H17" s="26" t="s">
        <v>10</v>
      </c>
      <c r="I17" s="10" t="s">
        <v>636</v>
      </c>
      <c r="J17" s="301" t="s">
        <v>721</v>
      </c>
      <c r="K17" s="302" t="s">
        <v>722</v>
      </c>
      <c r="L17" s="302" t="s">
        <v>723</v>
      </c>
      <c r="M17" s="303" t="s">
        <v>724</v>
      </c>
    </row>
    <row r="18" spans="1:13" ht="11.25" customHeight="1" x14ac:dyDescent="0.3">
      <c r="A18" s="23"/>
      <c r="B18" s="317"/>
      <c r="C18" s="46"/>
      <c r="D18" s="48"/>
      <c r="E18" s="81"/>
      <c r="F18" s="186"/>
      <c r="G18" s="201"/>
      <c r="H18" s="27" t="str">
        <f>IFERROR(IF(_xlfn.IFNA(HLOOKUP(TEXT(Personnel[[#This Row],[Months]],"@"),salaries_academic[#All],MATCH(Personnel[[#This Row],[Category]],salaries_academic[category],0)+1,FALSE),0)&gt;0,HLOOKUP(TEXT(Personnel[[#This Row],[Months]],"@"),salaries_academic[#All],MATCH(Personnel[[#This Row],[Category]],salaries_academic[category],0)+1,FALSE)*Personnel[[#This Row],[FTE]]*IF(ISBLANK(Personnel[[#This Row],[Kolom1]]),1,INDEX(CCC_table[CC],MATCH(Personnel[[#This Row],[Kolom1]],CCC_table[Code and Country],0),1)),IF(Personnel[[#This Row],[Costs]]&gt;0,Personnel[[#This Row],[Costs]],"")),"")</f>
        <v/>
      </c>
      <c r="I18" s="18" t="str">
        <f>checks!B71</f>
        <v/>
      </c>
      <c r="J18" s="271"/>
      <c r="K18" s="272"/>
      <c r="L18" s="272"/>
      <c r="M18" s="273"/>
    </row>
    <row r="19" spans="1:13" ht="11.25" customHeight="1" x14ac:dyDescent="0.3">
      <c r="A19" s="24"/>
      <c r="B19" s="318"/>
      <c r="C19" s="47"/>
      <c r="D19" s="49"/>
      <c r="E19" s="82"/>
      <c r="F19" s="187"/>
      <c r="G19" s="57"/>
      <c r="H19" s="28" t="str">
        <f>IFERROR(IF(_xlfn.IFNA(HLOOKUP(TEXT(Personnel[[#This Row],[Months]],"@"),salaries_academic[#All],MATCH(Personnel[[#This Row],[Category]],salaries_academic[category],0)+1,FALSE),0)&gt;0,HLOOKUP(TEXT(Personnel[[#This Row],[Months]],"@"),salaries_academic[#All],MATCH(Personnel[[#This Row],[Category]],salaries_academic[category],0)+1,FALSE)*Personnel[[#This Row],[FTE]]*IF(ISBLANK(Personnel[[#This Row],[Kolom1]]),1,INDEX(CCC_table[CC],MATCH(Personnel[[#This Row],[Kolom1]],CCC_table[Code and Country],0),1)),IF(Personnel[[#This Row],[Costs]]&gt;0,Personnel[[#This Row],[Costs]],"")),"")</f>
        <v/>
      </c>
      <c r="I19" s="18" t="str">
        <f>checks!B72</f>
        <v/>
      </c>
      <c r="J19" s="271"/>
      <c r="K19" s="272"/>
      <c r="L19" s="272"/>
      <c r="M19" s="273"/>
    </row>
    <row r="20" spans="1:13" ht="11.25" customHeight="1" x14ac:dyDescent="0.3">
      <c r="A20" s="24"/>
      <c r="B20" s="318"/>
      <c r="C20" s="47"/>
      <c r="D20" s="49"/>
      <c r="E20" s="82"/>
      <c r="F20" s="187"/>
      <c r="G20" s="57"/>
      <c r="H20" s="28" t="str">
        <f>IFERROR(IF(_xlfn.IFNA(HLOOKUP(TEXT(Personnel[[#This Row],[Months]],"@"),salaries_academic[#All],MATCH(Personnel[[#This Row],[Category]],salaries_academic[category],0)+1,FALSE),0)&gt;0,HLOOKUP(TEXT(Personnel[[#This Row],[Months]],"@"),salaries_academic[#All],MATCH(Personnel[[#This Row],[Category]],salaries_academic[category],0)+1,FALSE)*Personnel[[#This Row],[FTE]]*IF(ISBLANK(Personnel[[#This Row],[Kolom1]]),1,INDEX(CCC_table[CC],MATCH(Personnel[[#This Row],[Kolom1]],CCC_table[Code and Country],0),1)),IF(Personnel[[#This Row],[Costs]]&gt;0,Personnel[[#This Row],[Costs]],"")),"")</f>
        <v/>
      </c>
      <c r="I20" s="18" t="str">
        <f>checks!B73</f>
        <v/>
      </c>
      <c r="J20" s="271"/>
      <c r="K20" s="272"/>
      <c r="L20" s="272"/>
      <c r="M20" s="273"/>
    </row>
    <row r="21" spans="1:13" ht="11.25" customHeight="1" x14ac:dyDescent="0.3">
      <c r="A21" s="24"/>
      <c r="B21" s="318"/>
      <c r="C21" s="47"/>
      <c r="D21" s="49"/>
      <c r="E21" s="82"/>
      <c r="F21" s="187"/>
      <c r="G21" s="57"/>
      <c r="H21" s="28" t="str">
        <f>IFERROR(IF(_xlfn.IFNA(HLOOKUP(TEXT(Personnel[[#This Row],[Months]],"@"),salaries_academic[#All],MATCH(Personnel[[#This Row],[Category]],salaries_academic[category],0)+1,FALSE),0)&gt;0,HLOOKUP(TEXT(Personnel[[#This Row],[Months]],"@"),salaries_academic[#All],MATCH(Personnel[[#This Row],[Category]],salaries_academic[category],0)+1,FALSE)*Personnel[[#This Row],[FTE]]*IF(ISBLANK(Personnel[[#This Row],[Kolom1]]),1,INDEX(CCC_table[CC],MATCH(Personnel[[#This Row],[Kolom1]],CCC_table[Code and Country],0),1)),IF(Personnel[[#This Row],[Costs]]&gt;0,Personnel[[#This Row],[Costs]],"")),"")</f>
        <v/>
      </c>
      <c r="I21" s="18" t="str">
        <f>checks!B74</f>
        <v/>
      </c>
      <c r="J21" s="271"/>
      <c r="K21" s="272"/>
      <c r="L21" s="272"/>
      <c r="M21" s="273"/>
    </row>
    <row r="22" spans="1:13" ht="11.25" customHeight="1" x14ac:dyDescent="0.3">
      <c r="A22" s="24"/>
      <c r="B22" s="318"/>
      <c r="C22" s="47"/>
      <c r="D22" s="49"/>
      <c r="E22" s="82"/>
      <c r="F22" s="187"/>
      <c r="G22" s="57"/>
      <c r="H22" s="28" t="str">
        <f>IFERROR(IF(_xlfn.IFNA(HLOOKUP(TEXT(Personnel[[#This Row],[Months]],"@"),salaries_academic[#All],MATCH(Personnel[[#This Row],[Category]],salaries_academic[category],0)+1,FALSE),0)&gt;0,HLOOKUP(TEXT(Personnel[[#This Row],[Months]],"@"),salaries_academic[#All],MATCH(Personnel[[#This Row],[Category]],salaries_academic[category],0)+1,FALSE)*Personnel[[#This Row],[FTE]]*IF(ISBLANK(Personnel[[#This Row],[Kolom1]]),1,INDEX(CCC_table[CC],MATCH(Personnel[[#This Row],[Kolom1]],CCC_table[Code and Country],0),1)),IF(Personnel[[#This Row],[Costs]]&gt;0,Personnel[[#This Row],[Costs]],"")),"")</f>
        <v/>
      </c>
      <c r="I22" s="18" t="str">
        <f>checks!B75</f>
        <v/>
      </c>
      <c r="J22" s="271"/>
      <c r="K22" s="272"/>
      <c r="L22" s="272"/>
      <c r="M22" s="273"/>
    </row>
    <row r="23" spans="1:13" ht="11.25" customHeight="1" x14ac:dyDescent="0.3">
      <c r="A23" s="24"/>
      <c r="B23" s="318"/>
      <c r="C23" s="47"/>
      <c r="D23" s="49"/>
      <c r="E23" s="82"/>
      <c r="F23" s="187"/>
      <c r="G23" s="57"/>
      <c r="H23" s="28" t="str">
        <f>IFERROR(IF(_xlfn.IFNA(HLOOKUP(TEXT(Personnel[[#This Row],[Months]],"@"),salaries_academic[#All],MATCH(Personnel[[#This Row],[Category]],salaries_academic[category],0)+1,FALSE),0)&gt;0,HLOOKUP(TEXT(Personnel[[#This Row],[Months]],"@"),salaries_academic[#All],MATCH(Personnel[[#This Row],[Category]],salaries_academic[category],0)+1,FALSE)*Personnel[[#This Row],[FTE]]*IF(ISBLANK(Personnel[[#This Row],[Kolom1]]),1,INDEX(CCC_table[CC],MATCH(Personnel[[#This Row],[Kolom1]],CCC_table[Code and Country],0),1)),IF(Personnel[[#This Row],[Costs]]&gt;0,Personnel[[#This Row],[Costs]],"")),"")</f>
        <v/>
      </c>
      <c r="I23" s="18" t="str">
        <f>checks!B76</f>
        <v/>
      </c>
      <c r="J23" s="271"/>
      <c r="K23" s="272"/>
      <c r="L23" s="272"/>
      <c r="M23" s="273"/>
    </row>
    <row r="24" spans="1:13" ht="11.25" customHeight="1" x14ac:dyDescent="0.3">
      <c r="A24" s="24"/>
      <c r="B24" s="318"/>
      <c r="C24" s="47"/>
      <c r="D24" s="49"/>
      <c r="E24" s="82"/>
      <c r="F24" s="187"/>
      <c r="G24" s="57"/>
      <c r="H24" s="28" t="str">
        <f>IFERROR(IF(_xlfn.IFNA(HLOOKUP(TEXT(Personnel[[#This Row],[Months]],"@"),salaries_academic[#All],MATCH(Personnel[[#This Row],[Category]],salaries_academic[category],0)+1,FALSE),0)&gt;0,HLOOKUP(TEXT(Personnel[[#This Row],[Months]],"@"),salaries_academic[#All],MATCH(Personnel[[#This Row],[Category]],salaries_academic[category],0)+1,FALSE)*Personnel[[#This Row],[FTE]]*IF(ISBLANK(Personnel[[#This Row],[Kolom1]]),1,INDEX(CCC_table[CC],MATCH(Personnel[[#This Row],[Kolom1]],CCC_table[Code and Country],0),1)),IF(Personnel[[#This Row],[Costs]]&gt;0,Personnel[[#This Row],[Costs]],"")),"")</f>
        <v/>
      </c>
      <c r="I24" s="18" t="str">
        <f>checks!B77</f>
        <v/>
      </c>
      <c r="J24" s="271"/>
      <c r="K24" s="272"/>
      <c r="L24" s="272"/>
      <c r="M24" s="273"/>
    </row>
    <row r="25" spans="1:13" ht="11.25" customHeight="1" x14ac:dyDescent="0.3">
      <c r="A25" s="24"/>
      <c r="B25" s="318"/>
      <c r="C25" s="47"/>
      <c r="D25" s="49"/>
      <c r="E25" s="82"/>
      <c r="F25" s="187"/>
      <c r="G25" s="57"/>
      <c r="H25" s="28" t="str">
        <f>IFERROR(IF(_xlfn.IFNA(HLOOKUP(TEXT(Personnel[[#This Row],[Months]],"@"),salaries_academic[#All],MATCH(Personnel[[#This Row],[Category]],salaries_academic[category],0)+1,FALSE),0)&gt;0,HLOOKUP(TEXT(Personnel[[#This Row],[Months]],"@"),salaries_academic[#All],MATCH(Personnel[[#This Row],[Category]],salaries_academic[category],0)+1,FALSE)*Personnel[[#This Row],[FTE]]*IF(ISBLANK(Personnel[[#This Row],[Kolom1]]),1,INDEX(CCC_table[CC],MATCH(Personnel[[#This Row],[Kolom1]],CCC_table[Code and Country],0),1)),IF(Personnel[[#This Row],[Costs]]&gt;0,Personnel[[#This Row],[Costs]],"")),"")</f>
        <v/>
      </c>
      <c r="I25" s="18" t="str">
        <f>checks!B78</f>
        <v/>
      </c>
      <c r="J25" s="271"/>
      <c r="K25" s="272"/>
      <c r="L25" s="272"/>
      <c r="M25" s="273"/>
    </row>
    <row r="26" spans="1:13" ht="11.25" customHeight="1" x14ac:dyDescent="0.3">
      <c r="A26" s="24"/>
      <c r="B26" s="318"/>
      <c r="C26" s="47"/>
      <c r="D26" s="49"/>
      <c r="E26" s="82"/>
      <c r="F26" s="187"/>
      <c r="G26" s="57"/>
      <c r="H26" s="28" t="str">
        <f>IFERROR(IF(_xlfn.IFNA(HLOOKUP(TEXT(Personnel[[#This Row],[Months]],"@"),salaries_academic[#All],MATCH(Personnel[[#This Row],[Category]],salaries_academic[category],0)+1,FALSE),0)&gt;0,HLOOKUP(TEXT(Personnel[[#This Row],[Months]],"@"),salaries_academic[#All],MATCH(Personnel[[#This Row],[Category]],salaries_academic[category],0)+1,FALSE)*Personnel[[#This Row],[FTE]]*IF(ISBLANK(Personnel[[#This Row],[Kolom1]]),1,INDEX(CCC_table[CC],MATCH(Personnel[[#This Row],[Kolom1]],CCC_table[Code and Country],0),1)),IF(Personnel[[#This Row],[Costs]]&gt;0,Personnel[[#This Row],[Costs]],"")),"")</f>
        <v/>
      </c>
      <c r="I26" s="18" t="str">
        <f>checks!B79</f>
        <v/>
      </c>
      <c r="J26" s="271"/>
      <c r="K26" s="272"/>
      <c r="L26" s="272"/>
      <c r="M26" s="273"/>
    </row>
    <row r="27" spans="1:13" ht="11.25" customHeight="1" x14ac:dyDescent="0.3">
      <c r="A27" s="24"/>
      <c r="B27" s="318"/>
      <c r="C27" s="47"/>
      <c r="D27" s="49"/>
      <c r="E27" s="82"/>
      <c r="F27" s="187"/>
      <c r="G27" s="57"/>
      <c r="H27" s="28" t="str">
        <f>IFERROR(IF(_xlfn.IFNA(HLOOKUP(TEXT(Personnel[[#This Row],[Months]],"@"),salaries_academic[#All],MATCH(Personnel[[#This Row],[Category]],salaries_academic[category],0)+1,FALSE),0)&gt;0,HLOOKUP(TEXT(Personnel[[#This Row],[Months]],"@"),salaries_academic[#All],MATCH(Personnel[[#This Row],[Category]],salaries_academic[category],0)+1,FALSE)*Personnel[[#This Row],[FTE]]*IF(ISBLANK(Personnel[[#This Row],[Kolom1]]),1,INDEX(CCC_table[CC],MATCH(Personnel[[#This Row],[Kolom1]],CCC_table[Code and Country],0),1)),IF(Personnel[[#This Row],[Costs]]&gt;0,Personnel[[#This Row],[Costs]],"")),"")</f>
        <v/>
      </c>
      <c r="I27" s="18" t="str">
        <f>checks!B80</f>
        <v/>
      </c>
      <c r="J27" s="271"/>
      <c r="K27" s="272"/>
      <c r="L27" s="272"/>
      <c r="M27" s="273"/>
    </row>
    <row r="28" spans="1:13" ht="11.25" customHeight="1" x14ac:dyDescent="0.3">
      <c r="A28" s="63"/>
      <c r="B28" s="63"/>
      <c r="C28" s="64"/>
      <c r="D28" s="64"/>
      <c r="E28" s="218" t="s">
        <v>7</v>
      </c>
      <c r="F28" s="217"/>
      <c r="G28" s="218"/>
      <c r="H28" s="7">
        <f>SUM(Personnel[Amount])</f>
        <v>0</v>
      </c>
      <c r="I28" s="213"/>
      <c r="J28" s="295">
        <f>SUM(J18:J27)</f>
        <v>0</v>
      </c>
      <c r="K28" s="275"/>
      <c r="L28" s="275"/>
      <c r="M28" s="276"/>
    </row>
    <row r="29" spans="1:13" ht="11.25" customHeight="1" x14ac:dyDescent="0.3">
      <c r="A29" s="63"/>
      <c r="B29" s="63"/>
      <c r="C29" s="64"/>
      <c r="D29" s="64"/>
      <c r="E29" s="64"/>
      <c r="F29" s="217"/>
      <c r="G29" s="266"/>
      <c r="H29" s="267"/>
      <c r="I29" s="86" t="str">
        <f>SUBSTITUTE(IFERROR(IF(benchfee[[#This Row],['# Benchfee]]&gt;benchfee[[#This Row],[FTE]],checks!#REF!,IF(AND(benchfee[[#This Row],['# Benchfee]]&gt;0,benchfee[[#This Row],[Category]]=""),checks!$B$47,"")),""),0,"")</f>
        <v/>
      </c>
      <c r="J29" s="283"/>
      <c r="K29" s="297"/>
      <c r="L29" s="297"/>
      <c r="M29" s="296"/>
    </row>
    <row r="30" spans="1:13" ht="11.25" customHeight="1" x14ac:dyDescent="0.3">
      <c r="A30" s="166" t="s">
        <v>30</v>
      </c>
      <c r="B30" s="167"/>
      <c r="C30" s="167"/>
      <c r="D30" s="167"/>
      <c r="E30" s="167"/>
      <c r="F30" s="167"/>
      <c r="G30" s="167"/>
      <c r="H30" s="168"/>
      <c r="I30" s="86" t="str">
        <f>SUBSTITUTE(IFERROR(IF(benchfee[[#This Row],['# Benchfee]]&gt;benchfee[[#This Row],[FTE]],checks!#REF!,IF(AND(benchfee[[#This Row],['# Benchfee]]&gt;0,benchfee[[#This Row],[Category]]=""),checks!$B$47,"")),""),0,"")</f>
        <v/>
      </c>
      <c r="J30" s="166"/>
      <c r="K30" s="167"/>
      <c r="L30" s="167"/>
      <c r="M30" s="168"/>
    </row>
    <row r="31" spans="1:13" ht="11.25" customHeight="1" x14ac:dyDescent="0.3">
      <c r="A31" s="29" t="s">
        <v>31</v>
      </c>
      <c r="B31" s="19" t="s">
        <v>32</v>
      </c>
      <c r="C31" s="19" t="s">
        <v>33</v>
      </c>
      <c r="D31" s="19" t="s">
        <v>150</v>
      </c>
      <c r="E31" s="19" t="s">
        <v>601</v>
      </c>
      <c r="F31" s="13" t="s">
        <v>39</v>
      </c>
      <c r="G31" s="26" t="s">
        <v>599</v>
      </c>
      <c r="H31" s="19" t="s">
        <v>10</v>
      </c>
      <c r="I31" s="86" t="str">
        <f>SUBSTITUTE(IFERROR(IF(benchfee[[#This Row],['# Benchfee]]&gt;benchfee[[#This Row],[FTE]],checks!#REF!,IF(AND(benchfee[[#This Row],['# Benchfee]]&gt;0,benchfee[[#This Row],[Category]]=""),checks!$B$47,"")),""),0,"")</f>
        <v/>
      </c>
      <c r="J31" s="283"/>
      <c r="K31" s="297"/>
      <c r="L31" s="297"/>
      <c r="M31" s="296"/>
    </row>
    <row r="32" spans="1:13" ht="11.25" customHeight="1" x14ac:dyDescent="0.3">
      <c r="A32" s="70" t="str">
        <f ca="1">checks!I11</f>
        <v/>
      </c>
      <c r="B32" s="67" t="str">
        <f ca="1">checks!J11</f>
        <v/>
      </c>
      <c r="C32" s="37" t="str">
        <f ca="1">checks!K11</f>
        <v/>
      </c>
      <c r="D32" s="65"/>
      <c r="E32" s="175">
        <f t="shared" ref="E32:E41" si="0">benchfee_amount</f>
        <v>5000</v>
      </c>
      <c r="F32" s="188" t="str">
        <f ca="1">checks!L11</f>
        <v/>
      </c>
      <c r="G32" s="106" t="str">
        <f ca="1">checks!M11</f>
        <v/>
      </c>
      <c r="H32" s="27" t="str">
        <f ca="1">IF(LEN(benchfee[[#This Row],[Category]])&gt;0,benchfee[[#This Row],['# Benchfee]]*benchfee_amount,"")</f>
        <v/>
      </c>
      <c r="I32" s="86" t="str">
        <f ca="1">SUBSTITUTE(IFERROR(IF(benchfee[[#This Row],['# Benchfee]]&gt;benchfee[[#This Row],[FTE]],checks!#REF!,IF(AND(benchfee[[#This Row],['# Benchfee]]&gt;0,benchfee[[#This Row],[Category]]=""),checks!$B$47,"")),""),0,"")</f>
        <v/>
      </c>
      <c r="J32" s="277"/>
      <c r="K32" s="278"/>
      <c r="L32" s="278"/>
      <c r="M32" s="279"/>
    </row>
    <row r="33" spans="1:13" ht="11.25" customHeight="1" x14ac:dyDescent="0.3">
      <c r="A33" s="70" t="str">
        <f ca="1">checks!I12</f>
        <v/>
      </c>
      <c r="B33" s="68" t="str">
        <f ca="1">checks!J12</f>
        <v/>
      </c>
      <c r="C33" s="38" t="str">
        <f ca="1">checks!K12</f>
        <v/>
      </c>
      <c r="D33" s="66"/>
      <c r="E33" s="176">
        <f t="shared" si="0"/>
        <v>5000</v>
      </c>
      <c r="F33" s="189" t="str">
        <f ca="1">checks!L12</f>
        <v/>
      </c>
      <c r="G33" s="107" t="str">
        <f ca="1">checks!M12</f>
        <v/>
      </c>
      <c r="H33" s="28" t="str">
        <f ca="1">IF(LEN(benchfee[[#This Row],[Category]])&gt;0,benchfee[[#This Row],['# Benchfee]]*benchfee_amount,"")</f>
        <v/>
      </c>
      <c r="I33" s="86" t="str">
        <f ca="1">SUBSTITUTE(IFERROR(IF(benchfee[[#This Row],['# Benchfee]]&gt;benchfee[[#This Row],[FTE]],checks!#REF!,IF(AND(benchfee[[#This Row],['# Benchfee]]&gt;0,benchfee[[#This Row],[Category]]=""),checks!$B$47,"")),""),0,"")</f>
        <v/>
      </c>
      <c r="J33" s="280"/>
      <c r="K33" s="281"/>
      <c r="L33" s="281"/>
      <c r="M33" s="282"/>
    </row>
    <row r="34" spans="1:13" ht="11.25" customHeight="1" x14ac:dyDescent="0.3">
      <c r="A34" s="70" t="str">
        <f ca="1">checks!I13</f>
        <v/>
      </c>
      <c r="B34" s="68" t="str">
        <f ca="1">checks!J13</f>
        <v/>
      </c>
      <c r="C34" s="38" t="str">
        <f ca="1">checks!K13</f>
        <v/>
      </c>
      <c r="D34" s="66"/>
      <c r="E34" s="176">
        <f t="shared" si="0"/>
        <v>5000</v>
      </c>
      <c r="F34" s="189" t="str">
        <f ca="1">checks!L13</f>
        <v/>
      </c>
      <c r="G34" s="107" t="str">
        <f ca="1">checks!M13</f>
        <v/>
      </c>
      <c r="H34" s="28" t="str">
        <f ca="1">IF(LEN(benchfee[[#This Row],[Category]])&gt;0,benchfee[[#This Row],['# Benchfee]]*benchfee_amount,"")</f>
        <v/>
      </c>
      <c r="I34" s="86" t="str">
        <f ca="1">SUBSTITUTE(IFERROR(IF(benchfee[[#This Row],['# Benchfee]]&gt;benchfee[[#This Row],[FTE]],checks!#REF!,IF(AND(benchfee[[#This Row],['# Benchfee]]&gt;0,benchfee[[#This Row],[Category]]=""),checks!$B$47,"")),""),0,"")</f>
        <v/>
      </c>
      <c r="J34" s="280"/>
      <c r="K34" s="281"/>
      <c r="L34" s="281"/>
      <c r="M34" s="282"/>
    </row>
    <row r="35" spans="1:13" ht="11.25" customHeight="1" x14ac:dyDescent="0.3">
      <c r="A35" s="70" t="str">
        <f ca="1">checks!I14</f>
        <v/>
      </c>
      <c r="B35" s="68" t="str">
        <f ca="1">checks!J14</f>
        <v/>
      </c>
      <c r="C35" s="38" t="str">
        <f ca="1">checks!K14</f>
        <v/>
      </c>
      <c r="D35" s="66"/>
      <c r="E35" s="176">
        <f t="shared" si="0"/>
        <v>5000</v>
      </c>
      <c r="F35" s="189" t="str">
        <f ca="1">checks!L14</f>
        <v/>
      </c>
      <c r="G35" s="107" t="str">
        <f ca="1">checks!M14</f>
        <v/>
      </c>
      <c r="H35" s="28" t="str">
        <f ca="1">IF(LEN(benchfee[[#This Row],[Category]])&gt;0,benchfee[[#This Row],['# Benchfee]]*benchfee_amount,"")</f>
        <v/>
      </c>
      <c r="I35" s="86" t="str">
        <f ca="1">SUBSTITUTE(IFERROR(IF(benchfee[[#This Row],['# Benchfee]]&gt;benchfee[[#This Row],[FTE]],checks!#REF!,IF(AND(benchfee[[#This Row],['# Benchfee]]&gt;0,benchfee[[#This Row],[Category]]=""),checks!$B$47,"")),""),0,"")</f>
        <v/>
      </c>
      <c r="J35" s="280"/>
      <c r="K35" s="281"/>
      <c r="L35" s="281"/>
      <c r="M35" s="282"/>
    </row>
    <row r="36" spans="1:13" ht="11.25" customHeight="1" x14ac:dyDescent="0.3">
      <c r="A36" s="70" t="str">
        <f ca="1">checks!I15</f>
        <v/>
      </c>
      <c r="B36" s="68" t="str">
        <f ca="1">checks!J15</f>
        <v/>
      </c>
      <c r="C36" s="38" t="str">
        <f ca="1">checks!K15</f>
        <v/>
      </c>
      <c r="D36" s="66"/>
      <c r="E36" s="176">
        <f t="shared" si="0"/>
        <v>5000</v>
      </c>
      <c r="F36" s="189" t="str">
        <f ca="1">checks!L15</f>
        <v/>
      </c>
      <c r="G36" s="107" t="str">
        <f ca="1">checks!M15</f>
        <v/>
      </c>
      <c r="H36" s="28" t="str">
        <f ca="1">IF(LEN(benchfee[[#This Row],[Category]])&gt;0,benchfee[[#This Row],['# Benchfee]]*benchfee_amount,"")</f>
        <v/>
      </c>
      <c r="I36" s="86" t="str">
        <f ca="1">SUBSTITUTE(IFERROR(IF(benchfee[[#This Row],['# Benchfee]]&gt;benchfee[[#This Row],[FTE]],checks!#REF!,IF(AND(benchfee[[#This Row],['# Benchfee]]&gt;0,benchfee[[#This Row],[Category]]=""),checks!$B$47,"")),""),0,"")</f>
        <v/>
      </c>
      <c r="J36" s="280"/>
      <c r="K36" s="281"/>
      <c r="L36" s="281"/>
      <c r="M36" s="282"/>
    </row>
    <row r="37" spans="1:13" ht="11.25" customHeight="1" x14ac:dyDescent="0.3">
      <c r="A37" s="70" t="str">
        <f ca="1">checks!I16</f>
        <v/>
      </c>
      <c r="B37" s="68" t="str">
        <f ca="1">checks!J16</f>
        <v/>
      </c>
      <c r="C37" s="38" t="str">
        <f ca="1">checks!K16</f>
        <v/>
      </c>
      <c r="D37" s="66"/>
      <c r="E37" s="176">
        <f t="shared" si="0"/>
        <v>5000</v>
      </c>
      <c r="F37" s="189" t="str">
        <f ca="1">checks!L16</f>
        <v/>
      </c>
      <c r="G37" s="107" t="str">
        <f ca="1">checks!M16</f>
        <v/>
      </c>
      <c r="H37" s="28" t="str">
        <f ca="1">IF(LEN(benchfee[[#This Row],[Category]])&gt;0,benchfee[[#This Row],['# Benchfee]]*benchfee_amount,"")</f>
        <v/>
      </c>
      <c r="I37" s="86" t="str">
        <f ca="1">SUBSTITUTE(IFERROR(IF(benchfee[[#This Row],['# Benchfee]]&gt;benchfee[[#This Row],[FTE]],checks!#REF!,IF(AND(benchfee[[#This Row],['# Benchfee]]&gt;0,benchfee[[#This Row],[Category]]=""),checks!$B$47,"")),""),0,"")</f>
        <v/>
      </c>
      <c r="J37" s="280"/>
      <c r="K37" s="281"/>
      <c r="L37" s="281"/>
      <c r="M37" s="282"/>
    </row>
    <row r="38" spans="1:13" ht="11.25" customHeight="1" x14ac:dyDescent="0.3">
      <c r="A38" s="70" t="str">
        <f ca="1">checks!I17</f>
        <v/>
      </c>
      <c r="B38" s="68" t="str">
        <f ca="1">checks!J17</f>
        <v/>
      </c>
      <c r="C38" s="38" t="str">
        <f ca="1">checks!K17</f>
        <v/>
      </c>
      <c r="D38" s="66"/>
      <c r="E38" s="176">
        <f t="shared" si="0"/>
        <v>5000</v>
      </c>
      <c r="F38" s="189" t="str">
        <f ca="1">checks!L17</f>
        <v/>
      </c>
      <c r="G38" s="107" t="str">
        <f ca="1">checks!M17</f>
        <v/>
      </c>
      <c r="H38" s="28" t="str">
        <f ca="1">IF(LEN(benchfee[[#This Row],[Category]])&gt;0,benchfee[[#This Row],['# Benchfee]]*benchfee_amount,"")</f>
        <v/>
      </c>
      <c r="I38" s="86" t="str">
        <f ca="1">SUBSTITUTE(IFERROR(IF(benchfee[[#This Row],['# Benchfee]]&gt;benchfee[[#This Row],[FTE]],checks!#REF!,IF(AND(benchfee[[#This Row],['# Benchfee]]&gt;0,benchfee[[#This Row],[Category]]=""),checks!$B$47,"")),""),0,"")</f>
        <v/>
      </c>
      <c r="J38" s="280"/>
      <c r="K38" s="281"/>
      <c r="L38" s="281"/>
      <c r="M38" s="282"/>
    </row>
    <row r="39" spans="1:13" ht="11.25" customHeight="1" x14ac:dyDescent="0.3">
      <c r="A39" s="70" t="str">
        <f ca="1">checks!I18</f>
        <v/>
      </c>
      <c r="B39" s="68" t="str">
        <f ca="1">checks!J18</f>
        <v/>
      </c>
      <c r="C39" s="38" t="str">
        <f ca="1">checks!K18</f>
        <v/>
      </c>
      <c r="D39" s="66"/>
      <c r="E39" s="176">
        <f t="shared" si="0"/>
        <v>5000</v>
      </c>
      <c r="F39" s="189" t="str">
        <f ca="1">checks!L18</f>
        <v/>
      </c>
      <c r="G39" s="107" t="str">
        <f ca="1">checks!M18</f>
        <v/>
      </c>
      <c r="H39" s="28" t="str">
        <f ca="1">IF(LEN(benchfee[[#This Row],[Category]])&gt;0,benchfee[[#This Row],['# Benchfee]]*benchfee_amount,"")</f>
        <v/>
      </c>
      <c r="I39" s="86" t="str">
        <f ca="1">SUBSTITUTE(IFERROR(IF(benchfee[[#This Row],['# Benchfee]]&gt;benchfee[[#This Row],[FTE]],checks!#REF!,IF(AND(benchfee[[#This Row],['# Benchfee]]&gt;0,benchfee[[#This Row],[Category]]=""),checks!$B$47,"")),""),0,"")</f>
        <v/>
      </c>
      <c r="J39" s="280"/>
      <c r="K39" s="281"/>
      <c r="L39" s="281"/>
      <c r="M39" s="282"/>
    </row>
    <row r="40" spans="1:13" ht="11.25" customHeight="1" x14ac:dyDescent="0.3">
      <c r="A40" s="70" t="str">
        <f ca="1">checks!I19</f>
        <v/>
      </c>
      <c r="B40" s="68" t="str">
        <f ca="1">checks!J19</f>
        <v/>
      </c>
      <c r="C40" s="38" t="str">
        <f ca="1">checks!K19</f>
        <v/>
      </c>
      <c r="D40" s="66"/>
      <c r="E40" s="176">
        <f t="shared" si="0"/>
        <v>5000</v>
      </c>
      <c r="F40" s="189" t="str">
        <f ca="1">checks!L19</f>
        <v/>
      </c>
      <c r="G40" s="107" t="str">
        <f ca="1">checks!M19</f>
        <v/>
      </c>
      <c r="H40" s="28" t="str">
        <f ca="1">IF(LEN(benchfee[[#This Row],[Category]])&gt;0,benchfee[[#This Row],['# Benchfee]]*benchfee_amount,"")</f>
        <v/>
      </c>
      <c r="I40" s="86" t="str">
        <f ca="1">SUBSTITUTE(IFERROR(IF(benchfee[[#This Row],['# Benchfee]]&gt;benchfee[[#This Row],[FTE]],checks!#REF!,IF(AND(benchfee[[#This Row],['# Benchfee]]&gt;0,benchfee[[#This Row],[Category]]=""),checks!$B$47,"")),""),0,"")</f>
        <v/>
      </c>
      <c r="J40" s="280"/>
      <c r="K40" s="281"/>
      <c r="L40" s="281"/>
      <c r="M40" s="282"/>
    </row>
    <row r="41" spans="1:13" ht="11.25" customHeight="1" x14ac:dyDescent="0.3">
      <c r="A41" s="70" t="str">
        <f ca="1">checks!I20</f>
        <v/>
      </c>
      <c r="B41" s="68" t="str">
        <f ca="1">checks!J20</f>
        <v/>
      </c>
      <c r="C41" s="38" t="str">
        <f ca="1">checks!K20</f>
        <v/>
      </c>
      <c r="D41" s="66"/>
      <c r="E41" s="176">
        <f t="shared" si="0"/>
        <v>5000</v>
      </c>
      <c r="F41" s="189" t="str">
        <f ca="1">checks!L20</f>
        <v/>
      </c>
      <c r="G41" s="107" t="str">
        <f ca="1">checks!M20</f>
        <v/>
      </c>
      <c r="H41" s="28" t="str">
        <f ca="1">IF(LEN(benchfee[[#This Row],[Category]])&gt;0,benchfee[[#This Row],['# Benchfee]]*benchfee_amount,"")</f>
        <v/>
      </c>
      <c r="I41" s="86" t="str">
        <f ca="1">SUBSTITUTE(IFERROR(IF(benchfee[[#This Row],['# Benchfee]]&gt;benchfee[[#This Row],[FTE]],checks!#REF!,IF(AND(benchfee[[#This Row],['# Benchfee]]&gt;0,benchfee[[#This Row],[Category]]=""),checks!$B$47,"")),""),0,"")</f>
        <v/>
      </c>
      <c r="J41" s="280"/>
      <c r="K41" s="281"/>
      <c r="L41" s="281"/>
      <c r="M41" s="282"/>
    </row>
    <row r="42" spans="1:13" ht="11.25" customHeight="1" x14ac:dyDescent="0.3">
      <c r="A42" s="190"/>
      <c r="B42" s="190"/>
      <c r="C42" s="190"/>
      <c r="D42" s="56"/>
      <c r="E42" s="216" t="s">
        <v>7</v>
      </c>
      <c r="F42" s="56"/>
      <c r="G42" s="216"/>
      <c r="H42" s="7">
        <f ca="1">SUM(benchfee[Amount])</f>
        <v>0</v>
      </c>
      <c r="I42" s="86"/>
      <c r="J42" s="295">
        <f>SUM(J32:J41)</f>
        <v>0</v>
      </c>
      <c r="K42" s="275"/>
      <c r="L42" s="275"/>
      <c r="M42" s="276"/>
    </row>
    <row r="43" spans="1:13" ht="11.25" customHeight="1" x14ac:dyDescent="0.3">
      <c r="A43" s="225"/>
      <c r="B43" s="226"/>
      <c r="C43" s="226"/>
      <c r="D43" s="226"/>
      <c r="E43" s="228" t="s">
        <v>6</v>
      </c>
      <c r="F43" s="227"/>
      <c r="G43" s="228"/>
      <c r="H43" s="229" cm="1">
        <f t="array" aca="1" ref="H43" ca="1">Total_personnel_ac_institutes+Total_fixed_pers+Total_benchfee+Total_personnel_other+Total_other_inst_2021</f>
        <v>0</v>
      </c>
      <c r="I43" s="5"/>
      <c r="J43" s="286">
        <f>SUM(J28,J42)</f>
        <v>0</v>
      </c>
      <c r="K43" s="298"/>
      <c r="L43" s="298"/>
      <c r="M43" s="298"/>
    </row>
    <row r="44" spans="1:13" ht="11.25" customHeight="1" x14ac:dyDescent="0.3">
      <c r="A44" s="16"/>
      <c r="B44" s="17"/>
      <c r="C44" s="17"/>
      <c r="D44" s="17"/>
      <c r="E44" s="223"/>
      <c r="F44" s="224"/>
      <c r="G44" s="224"/>
      <c r="H44" s="224"/>
      <c r="I44" s="5"/>
      <c r="J44" s="284"/>
      <c r="K44" s="297"/>
      <c r="L44" s="297"/>
      <c r="M44" s="296"/>
    </row>
    <row r="45" spans="1:13" ht="11.25" customHeight="1" x14ac:dyDescent="0.3">
      <c r="A45" s="350" t="s">
        <v>8</v>
      </c>
      <c r="B45" s="351"/>
      <c r="C45" s="351"/>
      <c r="D45" s="351"/>
      <c r="E45" s="351"/>
      <c r="F45" s="351"/>
      <c r="G45" s="351"/>
      <c r="H45" s="352"/>
      <c r="I45" s="5"/>
      <c r="J45" s="287"/>
      <c r="K45" s="288"/>
      <c r="L45" s="288"/>
      <c r="M45" s="289"/>
    </row>
    <row r="46" spans="1:13" ht="11.25" customHeight="1" x14ac:dyDescent="0.3">
      <c r="A46" s="44" t="s">
        <v>9</v>
      </c>
      <c r="B46" s="44" t="s">
        <v>151</v>
      </c>
      <c r="C46" s="44" t="s">
        <v>152</v>
      </c>
      <c r="D46" s="44" t="s">
        <v>153</v>
      </c>
      <c r="E46" s="44" t="s">
        <v>604</v>
      </c>
      <c r="F46" s="26" t="s">
        <v>39</v>
      </c>
      <c r="G46" s="26" t="s">
        <v>599</v>
      </c>
      <c r="H46" s="35" t="s">
        <v>10</v>
      </c>
      <c r="I46" s="18"/>
      <c r="J46" s="284"/>
      <c r="K46" s="297"/>
      <c r="L46" s="297"/>
      <c r="M46" s="296"/>
    </row>
    <row r="47" spans="1:13" ht="11.25" customHeight="1" x14ac:dyDescent="0.3">
      <c r="A47" s="196"/>
      <c r="B47" s="90"/>
      <c r="C47" s="90"/>
      <c r="D47" s="90"/>
      <c r="E47" s="197"/>
      <c r="F47" s="198"/>
      <c r="G47" s="196"/>
      <c r="H47" s="73"/>
      <c r="I47" s="18" t="str">
        <f>checks!B200</f>
        <v/>
      </c>
      <c r="J47" s="277"/>
      <c r="K47" s="278"/>
      <c r="L47" s="278"/>
      <c r="M47" s="279"/>
    </row>
    <row r="48" spans="1:13" ht="11.25" customHeight="1" x14ac:dyDescent="0.3">
      <c r="A48" s="39"/>
      <c r="B48" s="50"/>
      <c r="C48" s="50"/>
      <c r="D48" s="50"/>
      <c r="E48" s="51"/>
      <c r="F48" s="187"/>
      <c r="G48" s="39"/>
      <c r="H48" s="74"/>
      <c r="I48" s="18" t="str">
        <f>checks!B201</f>
        <v/>
      </c>
      <c r="J48" s="280"/>
      <c r="K48" s="281"/>
      <c r="L48" s="281"/>
      <c r="M48" s="282"/>
    </row>
    <row r="49" spans="1:13" ht="11.25" customHeight="1" x14ac:dyDescent="0.3">
      <c r="A49" s="39"/>
      <c r="B49" s="50"/>
      <c r="C49" s="50"/>
      <c r="D49" s="50"/>
      <c r="E49" s="51"/>
      <c r="F49" s="187"/>
      <c r="G49" s="39"/>
      <c r="H49" s="74"/>
      <c r="I49" s="18" t="str">
        <f>checks!B202</f>
        <v/>
      </c>
      <c r="J49" s="280"/>
      <c r="K49" s="281"/>
      <c r="L49" s="281"/>
      <c r="M49" s="282"/>
    </row>
    <row r="50" spans="1:13" ht="11.25" customHeight="1" x14ac:dyDescent="0.3">
      <c r="A50" s="39"/>
      <c r="B50" s="50"/>
      <c r="C50" s="50"/>
      <c r="D50" s="50"/>
      <c r="E50" s="51"/>
      <c r="F50" s="187"/>
      <c r="G50" s="39"/>
      <c r="H50" s="74"/>
      <c r="I50" s="18" t="str">
        <f>checks!B203</f>
        <v/>
      </c>
      <c r="J50" s="280"/>
      <c r="K50" s="281"/>
      <c r="L50" s="281"/>
      <c r="M50" s="282"/>
    </row>
    <row r="51" spans="1:13" ht="11.25" customHeight="1" x14ac:dyDescent="0.3">
      <c r="A51" s="39"/>
      <c r="B51" s="50"/>
      <c r="C51" s="50"/>
      <c r="D51" s="50"/>
      <c r="E51" s="51"/>
      <c r="F51" s="187"/>
      <c r="G51" s="39"/>
      <c r="H51" s="74"/>
      <c r="I51" s="18" t="str">
        <f>checks!B204</f>
        <v/>
      </c>
      <c r="J51" s="280"/>
      <c r="K51" s="281"/>
      <c r="L51" s="281"/>
      <c r="M51" s="282"/>
    </row>
    <row r="52" spans="1:13" ht="11.25" customHeight="1" x14ac:dyDescent="0.3">
      <c r="A52" s="39"/>
      <c r="B52" s="50"/>
      <c r="C52" s="50"/>
      <c r="D52" s="50"/>
      <c r="E52" s="51"/>
      <c r="F52" s="187"/>
      <c r="G52" s="39"/>
      <c r="H52" s="74"/>
      <c r="I52" s="18" t="str">
        <f>checks!B205</f>
        <v/>
      </c>
      <c r="J52" s="280"/>
      <c r="K52" s="281"/>
      <c r="L52" s="281"/>
      <c r="M52" s="282"/>
    </row>
    <row r="53" spans="1:13" ht="11.25" customHeight="1" x14ac:dyDescent="0.3">
      <c r="A53" s="39"/>
      <c r="B53" s="50"/>
      <c r="C53" s="50"/>
      <c r="D53" s="50"/>
      <c r="E53" s="51"/>
      <c r="F53" s="187"/>
      <c r="G53" s="39"/>
      <c r="H53" s="74"/>
      <c r="I53" s="18" t="str">
        <f>checks!B206</f>
        <v/>
      </c>
      <c r="J53" s="280"/>
      <c r="K53" s="281"/>
      <c r="L53" s="281"/>
      <c r="M53" s="282"/>
    </row>
    <row r="54" spans="1:13" ht="11.25" customHeight="1" x14ac:dyDescent="0.3">
      <c r="A54" s="39"/>
      <c r="B54" s="50"/>
      <c r="C54" s="50"/>
      <c r="D54" s="50"/>
      <c r="E54" s="51"/>
      <c r="F54" s="187"/>
      <c r="G54" s="39"/>
      <c r="H54" s="74"/>
      <c r="I54" s="18" t="str">
        <f>checks!B207</f>
        <v/>
      </c>
      <c r="J54" s="280"/>
      <c r="K54" s="281"/>
      <c r="L54" s="281"/>
      <c r="M54" s="282"/>
    </row>
    <row r="55" spans="1:13" ht="11.25" customHeight="1" x14ac:dyDescent="0.3">
      <c r="A55" s="39"/>
      <c r="B55" s="50"/>
      <c r="C55" s="50"/>
      <c r="D55" s="50"/>
      <c r="E55" s="51"/>
      <c r="F55" s="187"/>
      <c r="G55" s="39"/>
      <c r="H55" s="74"/>
      <c r="I55" s="18" t="str">
        <f>checks!B208</f>
        <v/>
      </c>
      <c r="J55" s="280"/>
      <c r="K55" s="281"/>
      <c r="L55" s="281"/>
      <c r="M55" s="282"/>
    </row>
    <row r="56" spans="1:13" ht="11.25" customHeight="1" x14ac:dyDescent="0.3">
      <c r="A56" s="39"/>
      <c r="B56" s="50"/>
      <c r="C56" s="50"/>
      <c r="D56" s="50"/>
      <c r="E56" s="51"/>
      <c r="F56" s="187"/>
      <c r="G56" s="39"/>
      <c r="H56" s="74"/>
      <c r="I56" s="18" t="str">
        <f>checks!B209</f>
        <v/>
      </c>
      <c r="J56" s="280"/>
      <c r="K56" s="281"/>
      <c r="L56" s="281"/>
      <c r="M56" s="282"/>
    </row>
    <row r="57" spans="1:13" ht="11.25" customHeight="1" x14ac:dyDescent="0.3">
      <c r="A57" s="39"/>
      <c r="B57" s="50"/>
      <c r="C57" s="50"/>
      <c r="D57" s="50"/>
      <c r="E57" s="51"/>
      <c r="F57" s="187"/>
      <c r="G57" s="39"/>
      <c r="H57" s="74"/>
      <c r="I57" s="18" t="str">
        <f>checks!B210</f>
        <v/>
      </c>
      <c r="J57" s="280"/>
      <c r="K57" s="281"/>
      <c r="L57" s="281"/>
      <c r="M57" s="282"/>
    </row>
    <row r="58" spans="1:13" ht="11.25" customHeight="1" x14ac:dyDescent="0.3">
      <c r="A58" s="39"/>
      <c r="B58" s="50"/>
      <c r="C58" s="50"/>
      <c r="D58" s="50"/>
      <c r="E58" s="51"/>
      <c r="F58" s="187"/>
      <c r="G58" s="39"/>
      <c r="H58" s="74"/>
      <c r="I58" s="18" t="str">
        <f>checks!B211</f>
        <v/>
      </c>
      <c r="J58" s="280"/>
      <c r="K58" s="281"/>
      <c r="L58" s="281"/>
      <c r="M58" s="282"/>
    </row>
    <row r="59" spans="1:13" ht="11.25" customHeight="1" x14ac:dyDescent="0.3">
      <c r="A59" s="39"/>
      <c r="B59" s="50"/>
      <c r="C59" s="50"/>
      <c r="D59" s="50"/>
      <c r="E59" s="51"/>
      <c r="F59" s="187"/>
      <c r="G59" s="39"/>
      <c r="H59" s="74"/>
      <c r="I59" s="18" t="str">
        <f>checks!B212</f>
        <v/>
      </c>
      <c r="J59" s="280"/>
      <c r="K59" s="281"/>
      <c r="L59" s="281"/>
      <c r="M59" s="282"/>
    </row>
    <row r="60" spans="1:13" ht="11.25" customHeight="1" x14ac:dyDescent="0.3">
      <c r="A60" s="39"/>
      <c r="B60" s="50"/>
      <c r="C60" s="50"/>
      <c r="D60" s="50"/>
      <c r="E60" s="51"/>
      <c r="F60" s="187"/>
      <c r="G60" s="39"/>
      <c r="H60" s="74"/>
      <c r="I60" s="18" t="str">
        <f>checks!B213</f>
        <v/>
      </c>
      <c r="J60" s="280"/>
      <c r="K60" s="281"/>
      <c r="L60" s="281"/>
      <c r="M60" s="282"/>
    </row>
    <row r="61" spans="1:13" ht="11.25" customHeight="1" x14ac:dyDescent="0.3">
      <c r="A61" s="39"/>
      <c r="B61" s="50"/>
      <c r="C61" s="50"/>
      <c r="D61" s="50"/>
      <c r="E61" s="51"/>
      <c r="F61" s="187"/>
      <c r="G61" s="39"/>
      <c r="H61" s="74"/>
      <c r="I61" s="18" t="str">
        <f>checks!B214</f>
        <v/>
      </c>
      <c r="J61" s="280"/>
      <c r="K61" s="281"/>
      <c r="L61" s="281"/>
      <c r="M61" s="282"/>
    </row>
    <row r="62" spans="1:13" ht="11.25" customHeight="1" x14ac:dyDescent="0.3">
      <c r="A62" s="39"/>
      <c r="B62" s="50"/>
      <c r="C62" s="50"/>
      <c r="D62" s="50"/>
      <c r="E62" s="51"/>
      <c r="F62" s="187"/>
      <c r="G62" s="39"/>
      <c r="H62" s="74"/>
      <c r="I62" s="18" t="str">
        <f>checks!B215</f>
        <v/>
      </c>
      <c r="J62" s="280"/>
      <c r="K62" s="281"/>
      <c r="L62" s="281"/>
      <c r="M62" s="282"/>
    </row>
    <row r="63" spans="1:13" ht="11.25" customHeight="1" x14ac:dyDescent="0.3">
      <c r="A63" s="39"/>
      <c r="B63" s="50"/>
      <c r="C63" s="50"/>
      <c r="D63" s="50"/>
      <c r="E63" s="51"/>
      <c r="F63" s="187"/>
      <c r="G63" s="39"/>
      <c r="H63" s="74"/>
      <c r="I63" s="18" t="str">
        <f>checks!B216</f>
        <v/>
      </c>
      <c r="J63" s="280"/>
      <c r="K63" s="281"/>
      <c r="L63" s="281"/>
      <c r="M63" s="282"/>
    </row>
    <row r="64" spans="1:13" ht="11.25" customHeight="1" x14ac:dyDescent="0.3">
      <c r="A64" s="39"/>
      <c r="B64" s="50"/>
      <c r="C64" s="50"/>
      <c r="D64" s="50"/>
      <c r="E64" s="51"/>
      <c r="F64" s="187"/>
      <c r="G64" s="39"/>
      <c r="H64" s="74"/>
      <c r="I64" s="18" t="str">
        <f>checks!B217</f>
        <v/>
      </c>
      <c r="J64" s="280"/>
      <c r="K64" s="281"/>
      <c r="L64" s="281"/>
      <c r="M64" s="282"/>
    </row>
    <row r="65" spans="1:13" ht="11.25" customHeight="1" x14ac:dyDescent="0.3">
      <c r="A65" s="39"/>
      <c r="B65" s="50"/>
      <c r="C65" s="50"/>
      <c r="D65" s="50"/>
      <c r="E65" s="51"/>
      <c r="F65" s="187"/>
      <c r="G65" s="39"/>
      <c r="H65" s="74"/>
      <c r="I65" s="18" t="str">
        <f>checks!B218</f>
        <v/>
      </c>
      <c r="J65" s="280"/>
      <c r="K65" s="281"/>
      <c r="L65" s="281"/>
      <c r="M65" s="282"/>
    </row>
    <row r="66" spans="1:13" ht="11.25" customHeight="1" x14ac:dyDescent="0.3">
      <c r="A66" s="39"/>
      <c r="B66" s="50"/>
      <c r="C66" s="50"/>
      <c r="D66" s="50"/>
      <c r="E66" s="51"/>
      <c r="F66" s="187"/>
      <c r="G66" s="39"/>
      <c r="H66" s="74"/>
      <c r="I66" s="18" t="str">
        <f>checks!B219</f>
        <v/>
      </c>
      <c r="J66" s="280"/>
      <c r="K66" s="281"/>
      <c r="L66" s="281"/>
      <c r="M66" s="282"/>
    </row>
    <row r="67" spans="1:13" ht="11.25" customHeight="1" x14ac:dyDescent="0.3">
      <c r="A67" s="39"/>
      <c r="B67" s="50"/>
      <c r="C67" s="50"/>
      <c r="D67" s="50"/>
      <c r="E67" s="51"/>
      <c r="F67" s="187"/>
      <c r="G67" s="39"/>
      <c r="H67" s="74"/>
      <c r="I67" s="18" t="str">
        <f>checks!B220</f>
        <v/>
      </c>
      <c r="J67" s="280"/>
      <c r="K67" s="281"/>
      <c r="L67" s="281"/>
      <c r="M67" s="282"/>
    </row>
    <row r="68" spans="1:13" ht="11.25" customHeight="1" x14ac:dyDescent="0.3">
      <c r="A68" s="39"/>
      <c r="B68" s="50"/>
      <c r="C68" s="50"/>
      <c r="D68" s="50"/>
      <c r="E68" s="51"/>
      <c r="F68" s="187"/>
      <c r="G68" s="39"/>
      <c r="H68" s="74"/>
      <c r="I68" s="18" t="str">
        <f>checks!B221</f>
        <v/>
      </c>
      <c r="J68" s="280"/>
      <c r="K68" s="281"/>
      <c r="L68" s="281"/>
      <c r="M68" s="282"/>
    </row>
    <row r="69" spans="1:13" ht="11.25" customHeight="1" x14ac:dyDescent="0.3">
      <c r="A69" s="39"/>
      <c r="B69" s="50"/>
      <c r="C69" s="50"/>
      <c r="D69" s="50"/>
      <c r="E69" s="51"/>
      <c r="F69" s="187"/>
      <c r="G69" s="39"/>
      <c r="H69" s="74"/>
      <c r="I69" s="18" t="str">
        <f>checks!B222</f>
        <v/>
      </c>
      <c r="J69" s="280"/>
      <c r="K69" s="281"/>
      <c r="L69" s="281"/>
      <c r="M69" s="282"/>
    </row>
    <row r="70" spans="1:13" ht="11.25" customHeight="1" x14ac:dyDescent="0.3">
      <c r="A70" s="39"/>
      <c r="B70" s="50"/>
      <c r="C70" s="50"/>
      <c r="D70" s="50"/>
      <c r="E70" s="51"/>
      <c r="F70" s="187"/>
      <c r="G70" s="39"/>
      <c r="H70" s="74"/>
      <c r="I70" s="18" t="str">
        <f>checks!B223</f>
        <v/>
      </c>
      <c r="J70" s="280"/>
      <c r="K70" s="281"/>
      <c r="L70" s="281"/>
      <c r="M70" s="282"/>
    </row>
    <row r="71" spans="1:13" ht="11.25" customHeight="1" x14ac:dyDescent="0.3">
      <c r="A71" s="39"/>
      <c r="B71" s="50"/>
      <c r="C71" s="50"/>
      <c r="D71" s="50"/>
      <c r="E71" s="51"/>
      <c r="F71" s="187"/>
      <c r="G71" s="39"/>
      <c r="H71" s="74"/>
      <c r="I71" s="18" t="str">
        <f>checks!B224</f>
        <v/>
      </c>
      <c r="J71" s="280"/>
      <c r="K71" s="281"/>
      <c r="L71" s="281"/>
      <c r="M71" s="282"/>
    </row>
    <row r="72" spans="1:13" ht="11.25" customHeight="1" x14ac:dyDescent="0.3">
      <c r="A72" s="291"/>
      <c r="B72" s="227"/>
      <c r="C72" s="227"/>
      <c r="D72" s="227"/>
      <c r="E72" s="233" t="s">
        <v>12</v>
      </c>
      <c r="F72" s="232"/>
      <c r="G72" s="233"/>
      <c r="H72" s="7">
        <f>SUM(materials[Amount])</f>
        <v>0</v>
      </c>
      <c r="I72" s="18" t="str" cm="1">
        <f t="array" aca="1" ref="I72" ca="1">IF(Total_material_costs&gt;mat_max_NWOfunding*Total_NWO_funding,checks!$B$48,"")</f>
        <v/>
      </c>
      <c r="J72" s="292">
        <f>SUM(J47:J71)</f>
        <v>0</v>
      </c>
      <c r="K72" s="293"/>
      <c r="L72" s="293"/>
      <c r="M72" s="294"/>
    </row>
    <row r="73" spans="1:13" ht="11.25" customHeight="1" x14ac:dyDescent="0.3">
      <c r="A73" s="230"/>
      <c r="B73" s="219"/>
      <c r="C73" s="219"/>
      <c r="D73" s="219"/>
      <c r="E73" s="219"/>
      <c r="F73" s="219"/>
      <c r="G73" s="219"/>
      <c r="H73" s="231"/>
      <c r="I73" s="181"/>
      <c r="J73" s="62"/>
      <c r="K73" s="297"/>
      <c r="L73" s="297"/>
      <c r="M73" s="296"/>
    </row>
    <row r="74" spans="1:13" ht="11.25" customHeight="1" x14ac:dyDescent="0.3">
      <c r="A74" s="338" t="s">
        <v>11</v>
      </c>
      <c r="B74" s="339"/>
      <c r="C74" s="339"/>
      <c r="D74" s="339"/>
      <c r="E74" s="339"/>
      <c r="F74" s="339"/>
      <c r="G74" s="339"/>
      <c r="H74" s="340"/>
      <c r="I74" s="18"/>
      <c r="J74" s="287"/>
      <c r="K74" s="288"/>
      <c r="L74" s="288"/>
      <c r="M74" s="289"/>
    </row>
    <row r="75" spans="1:13" ht="11.25" customHeight="1" x14ac:dyDescent="0.3">
      <c r="A75" s="33" t="s">
        <v>9</v>
      </c>
      <c r="B75" s="177" t="s">
        <v>151</v>
      </c>
      <c r="C75" s="177" t="s">
        <v>152</v>
      </c>
      <c r="D75" s="177" t="s">
        <v>153</v>
      </c>
      <c r="E75" s="177" t="s">
        <v>604</v>
      </c>
      <c r="F75" s="34" t="s">
        <v>39</v>
      </c>
      <c r="G75" s="35" t="s">
        <v>599</v>
      </c>
      <c r="H75" s="71" t="s">
        <v>10</v>
      </c>
      <c r="I75" s="18"/>
      <c r="J75" s="62"/>
      <c r="K75" s="297"/>
      <c r="L75" s="297"/>
      <c r="M75" s="296"/>
    </row>
    <row r="76" spans="1:13" ht="11.25" customHeight="1" x14ac:dyDescent="0.3">
      <c r="A76" s="23"/>
      <c r="B76" s="178"/>
      <c r="C76" s="178"/>
      <c r="D76" s="178"/>
      <c r="E76" s="178"/>
      <c r="F76" s="186"/>
      <c r="G76" s="43"/>
      <c r="H76" s="73"/>
      <c r="I76" s="18" t="str">
        <f>IF(AND(LEN(investments_small[[#This Row],[Description]])&gt;0,LEN($A75)=0,empty_lines="no"),checks!$B$34,"")</f>
        <v/>
      </c>
      <c r="J76" s="277"/>
      <c r="K76" s="278"/>
      <c r="L76" s="278"/>
      <c r="M76" s="279"/>
    </row>
    <row r="77" spans="1:13" ht="11.25" customHeight="1" x14ac:dyDescent="0.3">
      <c r="A77" s="24"/>
      <c r="B77" s="179"/>
      <c r="C77" s="179"/>
      <c r="D77" s="179"/>
      <c r="E77" s="179"/>
      <c r="F77" s="187"/>
      <c r="G77" s="39"/>
      <c r="H77" s="74"/>
      <c r="I77" s="18" t="str">
        <f>IF(AND(LEN(investments_small[[#This Row],[Description]])&gt;0,LEN($A76)=0,empty_lines="no"),checks!$B$34,"")</f>
        <v/>
      </c>
      <c r="J77" s="280"/>
      <c r="K77" s="281"/>
      <c r="L77" s="281"/>
      <c r="M77" s="282"/>
    </row>
    <row r="78" spans="1:13" ht="11.25" customHeight="1" x14ac:dyDescent="0.3">
      <c r="A78" s="24"/>
      <c r="B78" s="179"/>
      <c r="C78" s="179"/>
      <c r="D78" s="179"/>
      <c r="E78" s="179"/>
      <c r="F78" s="187"/>
      <c r="G78" s="39"/>
      <c r="H78" s="74"/>
      <c r="I78" s="18" t="str">
        <f>IF(AND(LEN(investments_small[[#This Row],[Description]])&gt;0,LEN($A77)=0,empty_lines="no"),checks!$B$34,"")</f>
        <v/>
      </c>
      <c r="J78" s="280"/>
      <c r="K78" s="281"/>
      <c r="L78" s="281"/>
      <c r="M78" s="282"/>
    </row>
    <row r="79" spans="1:13" ht="11.25" customHeight="1" x14ac:dyDescent="0.3">
      <c r="A79" s="24"/>
      <c r="B79" s="180"/>
      <c r="C79" s="180"/>
      <c r="D79" s="180"/>
      <c r="E79" s="180"/>
      <c r="F79" s="200"/>
      <c r="G79" s="45"/>
      <c r="H79" s="74"/>
      <c r="I79" s="18" t="str">
        <f>IF(AND(LEN(investments_small[[#This Row],[Description]])&gt;0,LEN($A78)=0,empty_lines="no"),checks!$B$34,"")</f>
        <v/>
      </c>
      <c r="J79" s="280"/>
      <c r="K79" s="281"/>
      <c r="L79" s="281"/>
      <c r="M79" s="282"/>
    </row>
    <row r="80" spans="1:13" ht="11.25" customHeight="1" x14ac:dyDescent="0.3">
      <c r="A80" s="24"/>
      <c r="B80" s="180"/>
      <c r="C80" s="180"/>
      <c r="D80" s="180"/>
      <c r="E80" s="180"/>
      <c r="F80" s="200"/>
      <c r="G80" s="45"/>
      <c r="H80" s="74"/>
      <c r="I80" s="18" t="str">
        <f>IF(AND(LEN(investments_small[[#This Row],[Description]])&gt;0,LEN($A79)=0,empty_lines="no"),checks!$B$34,"")</f>
        <v/>
      </c>
      <c r="J80" s="280"/>
      <c r="K80" s="281"/>
      <c r="L80" s="281"/>
      <c r="M80" s="282"/>
    </row>
    <row r="81" spans="1:13" ht="11.25" customHeight="1" x14ac:dyDescent="0.3">
      <c r="A81" s="24"/>
      <c r="B81" s="180"/>
      <c r="C81" s="180"/>
      <c r="D81" s="180"/>
      <c r="E81" s="180"/>
      <c r="F81" s="200"/>
      <c r="G81" s="45"/>
      <c r="H81" s="74"/>
      <c r="I81" s="18" t="str">
        <f>IF(AND(LEN(investments_small[[#This Row],[Description]])&gt;0,LEN($A80)=0,empty_lines="no"),checks!$B$34,"")</f>
        <v/>
      </c>
      <c r="J81" s="280"/>
      <c r="K81" s="281"/>
      <c r="L81" s="281"/>
      <c r="M81" s="282"/>
    </row>
    <row r="82" spans="1:13" ht="11.25" customHeight="1" x14ac:dyDescent="0.3">
      <c r="A82" s="24"/>
      <c r="B82" s="180"/>
      <c r="C82" s="180"/>
      <c r="D82" s="180"/>
      <c r="E82" s="180"/>
      <c r="F82" s="200"/>
      <c r="G82" s="45"/>
      <c r="H82" s="74"/>
      <c r="I82" s="18" t="str">
        <f>IF(AND(LEN(investments_small[[#This Row],[Description]])&gt;0,LEN($A81)=0,empty_lines="no"),checks!$B$34,"")</f>
        <v/>
      </c>
      <c r="J82" s="280"/>
      <c r="K82" s="281"/>
      <c r="L82" s="281"/>
      <c r="M82" s="282"/>
    </row>
    <row r="83" spans="1:13" ht="11.25" customHeight="1" x14ac:dyDescent="0.3">
      <c r="A83" s="24"/>
      <c r="B83" s="180"/>
      <c r="C83" s="180"/>
      <c r="D83" s="180"/>
      <c r="E83" s="180"/>
      <c r="F83" s="200"/>
      <c r="G83" s="45"/>
      <c r="H83" s="74"/>
      <c r="I83" s="18" t="str">
        <f>IF(AND(LEN(investments_small[[#This Row],[Description]])&gt;0,LEN($A82)=0,empty_lines="no"),checks!$B$34,"")</f>
        <v/>
      </c>
      <c r="J83" s="280"/>
      <c r="K83" s="281"/>
      <c r="L83" s="281"/>
      <c r="M83" s="282"/>
    </row>
    <row r="84" spans="1:13" ht="11.25" customHeight="1" x14ac:dyDescent="0.3">
      <c r="A84" s="24"/>
      <c r="B84" s="180"/>
      <c r="C84" s="180"/>
      <c r="D84" s="180"/>
      <c r="E84" s="180"/>
      <c r="F84" s="200"/>
      <c r="G84" s="45"/>
      <c r="H84" s="74"/>
      <c r="I84" s="18" t="str">
        <f>IF(AND(LEN(investments_small[[#This Row],[Description]])&gt;0,LEN($A83)=0,empty_lines="no"),checks!$B$34,"")</f>
        <v/>
      </c>
      <c r="J84" s="280"/>
      <c r="K84" s="281"/>
      <c r="L84" s="281"/>
      <c r="M84" s="282"/>
    </row>
    <row r="85" spans="1:13" ht="11.25" customHeight="1" x14ac:dyDescent="0.3">
      <c r="A85" s="24"/>
      <c r="B85" s="180"/>
      <c r="C85" s="180"/>
      <c r="D85" s="180"/>
      <c r="E85" s="180"/>
      <c r="F85" s="200"/>
      <c r="G85" s="45"/>
      <c r="H85" s="74"/>
      <c r="I85" s="18" t="str">
        <f>IF(AND(LEN(investments_small[[#This Row],[Description]])&gt;0,LEN($A84)=0,empty_lines="no"),checks!$B$34,"")</f>
        <v/>
      </c>
      <c r="J85" s="280"/>
      <c r="K85" s="281"/>
      <c r="L85" s="281"/>
      <c r="M85" s="282"/>
    </row>
    <row r="86" spans="1:13" ht="11.25" customHeight="1" x14ac:dyDescent="0.3">
      <c r="A86" s="24"/>
      <c r="B86" s="180"/>
      <c r="C86" s="180"/>
      <c r="D86" s="180"/>
      <c r="E86" s="180"/>
      <c r="F86" s="200"/>
      <c r="G86" s="45"/>
      <c r="H86" s="74"/>
      <c r="I86" s="18" t="str">
        <f>IF(AND(LEN(investments_small[[#This Row],[Description]])&gt;0,LEN($A85)=0,empty_lines="no"),checks!$B$34,"")</f>
        <v/>
      </c>
      <c r="J86" s="280"/>
      <c r="K86" s="281"/>
      <c r="L86" s="281"/>
      <c r="M86" s="282"/>
    </row>
    <row r="87" spans="1:13" ht="11.25" customHeight="1" x14ac:dyDescent="0.3">
      <c r="A87" s="24"/>
      <c r="B87" s="180"/>
      <c r="C87" s="180"/>
      <c r="D87" s="180"/>
      <c r="E87" s="180"/>
      <c r="F87" s="200"/>
      <c r="G87" s="45"/>
      <c r="H87" s="74"/>
      <c r="I87" s="18" t="str">
        <f>IF(AND(LEN(investments_small[[#This Row],[Description]])&gt;0,LEN($A86)=0,empty_lines="no"),checks!$B$34,"")</f>
        <v/>
      </c>
      <c r="J87" s="280"/>
      <c r="K87" s="281"/>
      <c r="L87" s="281"/>
      <c r="M87" s="282"/>
    </row>
    <row r="88" spans="1:13" ht="11.25" customHeight="1" x14ac:dyDescent="0.3">
      <c r="A88" s="24"/>
      <c r="B88" s="180"/>
      <c r="C88" s="180"/>
      <c r="D88" s="180"/>
      <c r="E88" s="180"/>
      <c r="F88" s="200"/>
      <c r="G88" s="45"/>
      <c r="H88" s="74"/>
      <c r="I88" s="18" t="str">
        <f>IF(AND(LEN(investments_small[[#This Row],[Description]])&gt;0,LEN($A87)=0,empty_lines="no"),checks!$B$34,"")</f>
        <v/>
      </c>
      <c r="J88" s="280"/>
      <c r="K88" s="281"/>
      <c r="L88" s="281"/>
      <c r="M88" s="282"/>
    </row>
    <row r="89" spans="1:13" ht="11.25" customHeight="1" x14ac:dyDescent="0.3">
      <c r="A89" s="24"/>
      <c r="B89" s="180"/>
      <c r="C89" s="180"/>
      <c r="D89" s="180"/>
      <c r="E89" s="180"/>
      <c r="F89" s="200"/>
      <c r="G89" s="45"/>
      <c r="H89" s="74"/>
      <c r="I89" s="18" t="str">
        <f>IF(AND(LEN(investments_small[[#This Row],[Description]])&gt;0,LEN($A88)=0,empty_lines="no"),checks!$B$34,"")</f>
        <v/>
      </c>
      <c r="J89" s="280"/>
      <c r="K89" s="281"/>
      <c r="L89" s="281"/>
      <c r="M89" s="282"/>
    </row>
    <row r="90" spans="1:13" ht="11.25" customHeight="1" x14ac:dyDescent="0.3">
      <c r="A90" s="24"/>
      <c r="B90" s="180"/>
      <c r="C90" s="180"/>
      <c r="D90" s="180"/>
      <c r="E90" s="180"/>
      <c r="F90" s="200"/>
      <c r="G90" s="45"/>
      <c r="H90" s="74"/>
      <c r="I90" s="18" t="str">
        <f>IF(AND(LEN(investments_small[[#This Row],[Description]])&gt;0,LEN($A89)=0,empty_lines="no"),checks!$B$34,"")</f>
        <v/>
      </c>
      <c r="J90" s="280"/>
      <c r="K90" s="281"/>
      <c r="L90" s="281"/>
      <c r="M90" s="282"/>
    </row>
    <row r="91" spans="1:13" ht="11.25" hidden="1" customHeight="1" x14ac:dyDescent="0.3">
      <c r="A91" s="62"/>
      <c r="B91" s="56"/>
      <c r="C91" s="56"/>
      <c r="D91" s="56"/>
      <c r="E91" s="216" t="s">
        <v>7</v>
      </c>
      <c r="F91" s="217"/>
      <c r="G91" s="216"/>
      <c r="H91" s="7">
        <f>SUM(investments_small[Amount])</f>
        <v>0</v>
      </c>
      <c r="I91" s="18"/>
      <c r="J91" s="274">
        <f>SUM(J76:J90)</f>
        <v>0</v>
      </c>
      <c r="K91" s="275"/>
      <c r="L91" s="275"/>
      <c r="M91" s="276"/>
    </row>
    <row r="92" spans="1:13" ht="11.25" customHeight="1" x14ac:dyDescent="0.3">
      <c r="A92" s="4"/>
      <c r="B92" s="235"/>
      <c r="C92" s="235"/>
      <c r="D92" s="236"/>
      <c r="E92" s="228" t="s">
        <v>732</v>
      </c>
      <c r="F92" s="237"/>
      <c r="G92" s="228"/>
      <c r="H92" s="238" cm="1">
        <f t="array" ref="H92">Total_investments_small</f>
        <v>0</v>
      </c>
      <c r="I92" s="18" t="str" cm="1">
        <f t="array" ref="I92">IF(Total_investments&gt;inv_max_total_amount,checks!B50,"")</f>
        <v/>
      </c>
      <c r="J92" s="285" t="e">
        <f>SUM(#REF!+J91)</f>
        <v>#REF!</v>
      </c>
      <c r="K92" s="275"/>
      <c r="L92" s="275"/>
      <c r="M92" s="276"/>
    </row>
    <row r="93" spans="1:13" ht="11.25" customHeight="1" x14ac:dyDescent="0.3">
      <c r="A93" s="353"/>
      <c r="B93" s="343"/>
      <c r="C93" s="343"/>
      <c r="D93" s="343"/>
      <c r="E93" s="343"/>
      <c r="F93" s="343"/>
      <c r="G93" s="234"/>
      <c r="I93" s="5"/>
      <c r="J93" s="284"/>
      <c r="K93" s="297"/>
      <c r="L93" s="297"/>
      <c r="M93" s="296"/>
    </row>
    <row r="94" spans="1:13" ht="11.25" customHeight="1" x14ac:dyDescent="0.3">
      <c r="A94" s="350" t="s">
        <v>13</v>
      </c>
      <c r="B94" s="351"/>
      <c r="C94" s="351"/>
      <c r="D94" s="351"/>
      <c r="E94" s="351"/>
      <c r="F94" s="351"/>
      <c r="G94" s="351"/>
      <c r="H94" s="352"/>
      <c r="I94" s="5"/>
      <c r="J94" s="287"/>
      <c r="K94" s="288"/>
      <c r="L94" s="288"/>
      <c r="M94" s="289"/>
    </row>
    <row r="95" spans="1:13" ht="11.25" customHeight="1" x14ac:dyDescent="0.3">
      <c r="A95" s="172" t="s">
        <v>13</v>
      </c>
      <c r="B95" s="173"/>
      <c r="C95" s="173"/>
      <c r="D95" s="173"/>
      <c r="E95" s="173"/>
      <c r="F95" s="173"/>
      <c r="G95" s="173"/>
      <c r="H95" s="174"/>
      <c r="I95" s="18"/>
      <c r="J95" s="166"/>
      <c r="K95" s="167"/>
      <c r="L95" s="167"/>
      <c r="M95" s="168"/>
    </row>
    <row r="96" spans="1:13" ht="11.25" customHeight="1" x14ac:dyDescent="0.3">
      <c r="A96" s="41" t="s">
        <v>9</v>
      </c>
      <c r="B96" s="41" t="s">
        <v>151</v>
      </c>
      <c r="C96" s="41" t="s">
        <v>152</v>
      </c>
      <c r="D96" s="41" t="s">
        <v>153</v>
      </c>
      <c r="E96" s="41" t="s">
        <v>604</v>
      </c>
      <c r="F96" s="14" t="s">
        <v>39</v>
      </c>
      <c r="G96" s="30" t="s">
        <v>599</v>
      </c>
      <c r="H96" s="72" t="s">
        <v>10</v>
      </c>
      <c r="I96" s="18"/>
      <c r="J96" s="284"/>
      <c r="K96" s="297"/>
      <c r="L96" s="297"/>
      <c r="M96" s="296"/>
    </row>
    <row r="97" spans="1:13" ht="11.25" customHeight="1" x14ac:dyDescent="0.3">
      <c r="A97" s="23"/>
      <c r="B97" s="52"/>
      <c r="C97" s="52"/>
      <c r="D97" s="52"/>
      <c r="E97" s="53"/>
      <c r="F97" s="32"/>
      <c r="G97" s="201"/>
      <c r="H97" s="73"/>
      <c r="I97" s="18" t="str">
        <f ca="1">checks!B229</f>
        <v/>
      </c>
      <c r="J97" s="277"/>
      <c r="K97" s="278"/>
      <c r="L97" s="278"/>
      <c r="M97" s="279"/>
    </row>
    <row r="98" spans="1:13" ht="11.25" customHeight="1" x14ac:dyDescent="0.3">
      <c r="A98" s="24"/>
      <c r="B98" s="54"/>
      <c r="C98" s="54"/>
      <c r="D98" s="54"/>
      <c r="E98" s="55"/>
      <c r="F98" s="31"/>
      <c r="G98" s="57"/>
      <c r="H98" s="74"/>
      <c r="I98" s="18" t="str">
        <f ca="1">checks!B230</f>
        <v/>
      </c>
      <c r="J98" s="280"/>
      <c r="K98" s="281"/>
      <c r="L98" s="281"/>
      <c r="M98" s="282"/>
    </row>
    <row r="99" spans="1:13" ht="11.25" customHeight="1" x14ac:dyDescent="0.3">
      <c r="A99" s="24"/>
      <c r="B99" s="54"/>
      <c r="C99" s="54"/>
      <c r="D99" s="54"/>
      <c r="E99" s="55"/>
      <c r="F99" s="31"/>
      <c r="G99" s="57"/>
      <c r="H99" s="74"/>
      <c r="I99" s="18" t="str">
        <f ca="1">checks!B231</f>
        <v/>
      </c>
      <c r="J99" s="280"/>
      <c r="K99" s="281"/>
      <c r="L99" s="281"/>
      <c r="M99" s="282"/>
    </row>
    <row r="100" spans="1:13" ht="11.25" customHeight="1" x14ac:dyDescent="0.3">
      <c r="A100" s="24"/>
      <c r="B100" s="54"/>
      <c r="C100" s="54"/>
      <c r="D100" s="54"/>
      <c r="E100" s="55"/>
      <c r="F100" s="31"/>
      <c r="G100" s="57"/>
      <c r="H100" s="74"/>
      <c r="I100" s="18" t="str">
        <f ca="1">checks!B232</f>
        <v/>
      </c>
      <c r="J100" s="280"/>
      <c r="K100" s="281"/>
      <c r="L100" s="281"/>
      <c r="M100" s="282"/>
    </row>
    <row r="101" spans="1:13" ht="11.25" customHeight="1" x14ac:dyDescent="0.3">
      <c r="A101" s="24"/>
      <c r="B101" s="54"/>
      <c r="C101" s="54"/>
      <c r="D101" s="54"/>
      <c r="E101" s="55"/>
      <c r="F101" s="31"/>
      <c r="G101" s="57"/>
      <c r="H101" s="74"/>
      <c r="I101" s="18" t="str">
        <f ca="1">checks!B233</f>
        <v/>
      </c>
      <c r="J101" s="280"/>
      <c r="K101" s="281"/>
      <c r="L101" s="281"/>
      <c r="M101" s="282"/>
    </row>
    <row r="102" spans="1:13" ht="11.25" customHeight="1" x14ac:dyDescent="0.3">
      <c r="A102" s="24"/>
      <c r="B102" s="54"/>
      <c r="C102" s="54"/>
      <c r="D102" s="54"/>
      <c r="E102" s="55"/>
      <c r="F102" s="31"/>
      <c r="G102" s="57"/>
      <c r="H102" s="74"/>
      <c r="I102" s="18" t="str">
        <f ca="1">checks!B234</f>
        <v/>
      </c>
      <c r="J102" s="280"/>
      <c r="K102" s="281"/>
      <c r="L102" s="281"/>
      <c r="M102" s="282"/>
    </row>
    <row r="103" spans="1:13" ht="11.25" customHeight="1" x14ac:dyDescent="0.3">
      <c r="A103" s="24"/>
      <c r="B103" s="54"/>
      <c r="C103" s="54"/>
      <c r="D103" s="54"/>
      <c r="E103" s="55"/>
      <c r="F103" s="31"/>
      <c r="G103" s="57"/>
      <c r="H103" s="74"/>
      <c r="I103" s="18" t="str">
        <f ca="1">checks!B235</f>
        <v/>
      </c>
      <c r="J103" s="280"/>
      <c r="K103" s="281"/>
      <c r="L103" s="281"/>
      <c r="M103" s="282"/>
    </row>
    <row r="104" spans="1:13" ht="11.25" customHeight="1" x14ac:dyDescent="0.3">
      <c r="A104" s="24"/>
      <c r="B104" s="54"/>
      <c r="C104" s="54"/>
      <c r="D104" s="54"/>
      <c r="E104" s="55"/>
      <c r="F104" s="31"/>
      <c r="G104" s="57"/>
      <c r="H104" s="74"/>
      <c r="I104" s="18" t="str">
        <f ca="1">checks!B236</f>
        <v/>
      </c>
      <c r="J104" s="280"/>
      <c r="K104" s="281"/>
      <c r="L104" s="281"/>
      <c r="M104" s="282"/>
    </row>
    <row r="105" spans="1:13" ht="11.25" customHeight="1" x14ac:dyDescent="0.3">
      <c r="A105" s="24"/>
      <c r="B105" s="54"/>
      <c r="C105" s="54"/>
      <c r="D105" s="54"/>
      <c r="E105" s="55"/>
      <c r="F105" s="31"/>
      <c r="G105" s="57"/>
      <c r="H105" s="74"/>
      <c r="I105" s="18" t="str">
        <f ca="1">checks!B237</f>
        <v/>
      </c>
      <c r="J105" s="280"/>
      <c r="K105" s="281"/>
      <c r="L105" s="281"/>
      <c r="M105" s="282"/>
    </row>
    <row r="106" spans="1:13" ht="11.25" customHeight="1" x14ac:dyDescent="0.3">
      <c r="A106" s="24"/>
      <c r="B106" s="54"/>
      <c r="C106" s="54"/>
      <c r="D106" s="54"/>
      <c r="E106" s="55"/>
      <c r="F106" s="31"/>
      <c r="G106" s="57"/>
      <c r="H106" s="74"/>
      <c r="I106" s="18" t="str">
        <f ca="1">checks!B238</f>
        <v/>
      </c>
      <c r="J106" s="280"/>
      <c r="K106" s="281"/>
      <c r="L106" s="281"/>
      <c r="M106" s="282"/>
    </row>
    <row r="107" spans="1:13" ht="11.25" customHeight="1" x14ac:dyDescent="0.3">
      <c r="A107" s="24"/>
      <c r="B107" s="54"/>
      <c r="C107" s="54"/>
      <c r="D107" s="54"/>
      <c r="E107" s="55"/>
      <c r="F107" s="31"/>
      <c r="G107" s="57"/>
      <c r="H107" s="74"/>
      <c r="I107" s="18" t="str">
        <f ca="1">checks!B239</f>
        <v/>
      </c>
      <c r="J107" s="280"/>
      <c r="K107" s="281"/>
      <c r="L107" s="281"/>
      <c r="M107" s="282"/>
    </row>
    <row r="108" spans="1:13" ht="11.25" customHeight="1" x14ac:dyDescent="0.3">
      <c r="A108" s="24"/>
      <c r="B108" s="54"/>
      <c r="C108" s="54"/>
      <c r="D108" s="54"/>
      <c r="E108" s="55"/>
      <c r="F108" s="31"/>
      <c r="G108" s="57"/>
      <c r="H108" s="74"/>
      <c r="I108" s="18" t="str">
        <f ca="1">checks!B240</f>
        <v/>
      </c>
      <c r="J108" s="280"/>
      <c r="K108" s="281"/>
      <c r="L108" s="281"/>
      <c r="M108" s="282"/>
    </row>
    <row r="109" spans="1:13" ht="11.25" customHeight="1" x14ac:dyDescent="0.3">
      <c r="A109" s="24"/>
      <c r="B109" s="54"/>
      <c r="C109" s="54"/>
      <c r="D109" s="54"/>
      <c r="E109" s="55"/>
      <c r="F109" s="31"/>
      <c r="G109" s="57"/>
      <c r="H109" s="74"/>
      <c r="I109" s="18" t="str">
        <f ca="1">checks!B241</f>
        <v/>
      </c>
      <c r="J109" s="280"/>
      <c r="K109" s="281"/>
      <c r="L109" s="281"/>
      <c r="M109" s="282"/>
    </row>
    <row r="110" spans="1:13" ht="11.25" customHeight="1" x14ac:dyDescent="0.3">
      <c r="A110" s="24"/>
      <c r="B110" s="54"/>
      <c r="C110" s="54"/>
      <c r="D110" s="54"/>
      <c r="E110" s="55"/>
      <c r="F110" s="31"/>
      <c r="G110" s="57"/>
      <c r="H110" s="74"/>
      <c r="I110" s="18" t="str">
        <f ca="1">checks!B242</f>
        <v/>
      </c>
      <c r="J110" s="280"/>
      <c r="K110" s="281"/>
      <c r="L110" s="281"/>
      <c r="M110" s="282"/>
    </row>
    <row r="111" spans="1:13" ht="11.25" customHeight="1" x14ac:dyDescent="0.3">
      <c r="A111" s="24"/>
      <c r="B111" s="54"/>
      <c r="C111" s="54"/>
      <c r="D111" s="54"/>
      <c r="E111" s="55"/>
      <c r="F111" s="31"/>
      <c r="G111" s="57"/>
      <c r="H111" s="74"/>
      <c r="I111" s="18" t="str">
        <f ca="1">checks!B243</f>
        <v/>
      </c>
      <c r="J111" s="280"/>
      <c r="K111" s="281"/>
      <c r="L111" s="281"/>
      <c r="M111" s="282"/>
    </row>
    <row r="112" spans="1:13" ht="11.25" customHeight="1" x14ac:dyDescent="0.3">
      <c r="A112" s="291"/>
      <c r="B112" s="226"/>
      <c r="C112" s="226"/>
      <c r="D112" s="226"/>
      <c r="E112" s="228" t="s">
        <v>682</v>
      </c>
      <c r="F112" s="226"/>
      <c r="G112" s="228"/>
      <c r="H112" s="7">
        <f>SUM(knowledge_utilisation[Amount])</f>
        <v>0</v>
      </c>
      <c r="I112" s="18"/>
      <c r="J112" s="274">
        <f>SUM(J97:J111)</f>
        <v>0</v>
      </c>
      <c r="K112" s="275"/>
      <c r="L112" s="275"/>
      <c r="M112" s="276"/>
    </row>
    <row r="113" spans="1:13" ht="11.25" customHeight="1" x14ac:dyDescent="0.3">
      <c r="A113" s="242"/>
      <c r="B113" s="242"/>
      <c r="C113" s="242"/>
      <c r="D113" s="242"/>
      <c r="E113" s="242"/>
      <c r="F113" s="242"/>
      <c r="G113" s="242"/>
      <c r="H113" s="242"/>
      <c r="I113" s="18"/>
      <c r="J113" s="306"/>
      <c r="K113" s="307"/>
      <c r="L113" s="307"/>
      <c r="M113" s="308"/>
    </row>
    <row r="114" spans="1:13" ht="11.25" customHeight="1" x14ac:dyDescent="0.3">
      <c r="A114" s="350" t="s">
        <v>737</v>
      </c>
      <c r="B114" s="351"/>
      <c r="C114" s="351"/>
      <c r="D114" s="351"/>
      <c r="E114" s="351"/>
      <c r="F114" s="351"/>
      <c r="G114" s="351"/>
      <c r="H114" s="352"/>
      <c r="I114" s="18"/>
      <c r="J114" s="306"/>
      <c r="K114" s="307"/>
      <c r="L114" s="307"/>
      <c r="M114" s="308"/>
    </row>
    <row r="115" spans="1:13" ht="11.25" customHeight="1" x14ac:dyDescent="0.3">
      <c r="A115" s="309" t="s">
        <v>754</v>
      </c>
      <c r="B115" s="309" t="s">
        <v>151</v>
      </c>
      <c r="C115" s="309" t="s">
        <v>152</v>
      </c>
      <c r="D115" s="309" t="s">
        <v>153</v>
      </c>
      <c r="E115" s="309" t="s">
        <v>604</v>
      </c>
      <c r="F115" s="30" t="s">
        <v>39</v>
      </c>
      <c r="G115" s="30" t="s">
        <v>599</v>
      </c>
      <c r="H115" s="71" t="s">
        <v>10</v>
      </c>
      <c r="I115" s="18"/>
      <c r="J115" s="306"/>
      <c r="K115" s="307"/>
      <c r="L115" s="307"/>
      <c r="M115" s="308"/>
    </row>
    <row r="116" spans="1:13" ht="11.25" customHeight="1" x14ac:dyDescent="0.3">
      <c r="A116" s="23"/>
      <c r="B116" s="52"/>
      <c r="C116" s="52"/>
      <c r="D116" s="52"/>
      <c r="E116" s="53"/>
      <c r="F116" s="32"/>
      <c r="G116" s="201"/>
      <c r="H116" s="59"/>
      <c r="I116" s="18"/>
      <c r="J116" s="306"/>
      <c r="K116" s="307"/>
      <c r="L116" s="307"/>
      <c r="M116" s="308"/>
    </row>
    <row r="117" spans="1:13" ht="11.25" customHeight="1" x14ac:dyDescent="0.3">
      <c r="A117" s="24"/>
      <c r="B117" s="54"/>
      <c r="C117" s="54"/>
      <c r="D117" s="54"/>
      <c r="E117" s="55"/>
      <c r="F117" s="31"/>
      <c r="G117" s="57"/>
      <c r="H117" s="61"/>
      <c r="I117" s="18"/>
      <c r="J117" s="306"/>
      <c r="K117" s="307"/>
      <c r="L117" s="307"/>
      <c r="M117" s="308"/>
    </row>
    <row r="118" spans="1:13" ht="11.25" customHeight="1" x14ac:dyDescent="0.3">
      <c r="A118" s="24"/>
      <c r="B118" s="54"/>
      <c r="C118" s="54"/>
      <c r="D118" s="54"/>
      <c r="E118" s="55"/>
      <c r="F118" s="31"/>
      <c r="G118" s="57"/>
      <c r="H118" s="61"/>
      <c r="I118" s="18"/>
      <c r="J118" s="306"/>
      <c r="K118" s="307"/>
      <c r="L118" s="307"/>
      <c r="M118" s="308"/>
    </row>
    <row r="119" spans="1:13" ht="11.25" customHeight="1" x14ac:dyDescent="0.3">
      <c r="A119" s="24"/>
      <c r="B119" s="54"/>
      <c r="C119" s="54"/>
      <c r="D119" s="54"/>
      <c r="E119" s="55"/>
      <c r="F119" s="31"/>
      <c r="G119" s="57"/>
      <c r="H119" s="61"/>
      <c r="I119" s="18"/>
      <c r="J119" s="306"/>
      <c r="K119" s="307"/>
      <c r="L119" s="307"/>
      <c r="M119" s="308"/>
    </row>
    <row r="120" spans="1:13" ht="11.25" customHeight="1" x14ac:dyDescent="0.3">
      <c r="A120" s="24"/>
      <c r="B120" s="54"/>
      <c r="C120" s="54"/>
      <c r="D120" s="54"/>
      <c r="E120" s="55"/>
      <c r="F120" s="31"/>
      <c r="G120" s="57"/>
      <c r="H120" s="314"/>
      <c r="I120" s="18"/>
      <c r="J120" s="306"/>
      <c r="K120" s="307"/>
      <c r="L120" s="307"/>
      <c r="M120" s="308"/>
    </row>
    <row r="121" spans="1:13" ht="11.25" customHeight="1" x14ac:dyDescent="0.3">
      <c r="A121" s="316"/>
      <c r="B121" s="310"/>
      <c r="C121" s="310"/>
      <c r="D121" s="310"/>
      <c r="E121" s="311" t="s">
        <v>739</v>
      </c>
      <c r="F121" s="312"/>
      <c r="G121" s="313"/>
      <c r="H121" s="315">
        <f>SUM(excess_costs[Amount])</f>
        <v>0</v>
      </c>
      <c r="I121" s="8"/>
      <c r="J121" s="284"/>
      <c r="K121" s="297"/>
      <c r="L121" s="297"/>
      <c r="M121" s="296"/>
    </row>
    <row r="122" spans="1:13" ht="11.25" customHeight="1" x14ac:dyDescent="0.3">
      <c r="A122" s="11"/>
      <c r="G122" s="5"/>
      <c r="I122" s="159"/>
      <c r="J122" s="287"/>
      <c r="K122" s="288"/>
      <c r="L122" s="288"/>
      <c r="M122" s="289"/>
    </row>
    <row r="123" spans="1:13" ht="11.25" customHeight="1" x14ac:dyDescent="0.3">
      <c r="A123" s="350" t="s">
        <v>738</v>
      </c>
      <c r="B123" s="351"/>
      <c r="C123" s="351"/>
      <c r="D123" s="351"/>
      <c r="E123" s="351"/>
      <c r="F123" s="351"/>
      <c r="G123" s="351"/>
      <c r="H123" s="352"/>
      <c r="I123" s="86"/>
      <c r="J123" s="166"/>
      <c r="K123" s="167"/>
      <c r="L123" s="167"/>
      <c r="M123" s="168"/>
    </row>
    <row r="124" spans="1:13" ht="11.25" customHeight="1" x14ac:dyDescent="0.3">
      <c r="A124" s="4" t="s">
        <v>47</v>
      </c>
      <c r="B124" s="235"/>
      <c r="C124" s="235"/>
      <c r="D124" s="235"/>
      <c r="E124" s="235"/>
      <c r="F124" s="235"/>
      <c r="G124" s="235"/>
      <c r="H124" s="290"/>
      <c r="I124" s="86"/>
      <c r="J124" s="284"/>
      <c r="K124" s="297"/>
      <c r="L124" s="297"/>
      <c r="M124" s="296"/>
    </row>
    <row r="125" spans="1:13" ht="11.25" customHeight="1" x14ac:dyDescent="0.3">
      <c r="A125" s="33" t="s">
        <v>761</v>
      </c>
      <c r="B125" s="34" t="s">
        <v>756</v>
      </c>
      <c r="C125" s="34" t="s">
        <v>152</v>
      </c>
      <c r="D125" s="177" t="s">
        <v>606</v>
      </c>
      <c r="E125" s="177" t="s">
        <v>605</v>
      </c>
      <c r="F125" s="30" t="s">
        <v>39</v>
      </c>
      <c r="G125" s="30" t="s">
        <v>599</v>
      </c>
      <c r="H125" s="34" t="s">
        <v>10</v>
      </c>
      <c r="I125" s="86"/>
      <c r="J125" s="277"/>
      <c r="K125" s="278"/>
      <c r="L125" s="278"/>
      <c r="M125" s="279"/>
    </row>
    <row r="126" spans="1:13" ht="11.25" customHeight="1" x14ac:dyDescent="0.3">
      <c r="A126" s="328"/>
      <c r="B126" s="186"/>
      <c r="C126" s="327"/>
      <c r="D126" s="48"/>
      <c r="E126" s="210"/>
      <c r="F126" s="32"/>
      <c r="G126" s="201"/>
      <c r="H126" s="221">
        <f>inkind[[#This Row],[Nr of units or Nr of hours]]*inkind[[#This Row],[Unit price or hourly rate]]</f>
        <v>0</v>
      </c>
      <c r="I126" s="86" t="str">
        <f>checks!B251</f>
        <v/>
      </c>
      <c r="J126" s="280"/>
      <c r="K126" s="281"/>
      <c r="L126" s="281"/>
      <c r="M126" s="282"/>
    </row>
    <row r="127" spans="1:13" ht="12.75" customHeight="1" x14ac:dyDescent="0.3">
      <c r="A127" s="325"/>
      <c r="B127" s="187"/>
      <c r="C127" s="326"/>
      <c r="D127" s="49"/>
      <c r="E127" s="211"/>
      <c r="F127" s="31"/>
      <c r="G127" s="57"/>
      <c r="H127" s="222">
        <f>inkind[[#This Row],[Nr of units or Nr of hours]]*inkind[[#This Row],[Unit price or hourly rate]]</f>
        <v>0</v>
      </c>
      <c r="I127" s="86" t="str">
        <f>checks!B252</f>
        <v/>
      </c>
      <c r="J127" s="280"/>
      <c r="K127" s="281"/>
      <c r="L127" s="281"/>
      <c r="M127" s="282"/>
    </row>
    <row r="128" spans="1:13" ht="12.75" customHeight="1" x14ac:dyDescent="0.3">
      <c r="A128" s="325"/>
      <c r="B128" s="187"/>
      <c r="C128" s="326"/>
      <c r="D128" s="49"/>
      <c r="E128" s="211"/>
      <c r="F128" s="31"/>
      <c r="G128" s="57"/>
      <c r="H128" s="222">
        <f>inkind[[#This Row],[Nr of units or Nr of hours]]*inkind[[#This Row],[Unit price or hourly rate]]</f>
        <v>0</v>
      </c>
      <c r="I128" s="86" t="str">
        <f>checks!B253</f>
        <v/>
      </c>
      <c r="J128" s="280"/>
      <c r="K128" s="281"/>
      <c r="L128" s="281"/>
      <c r="M128" s="282"/>
    </row>
    <row r="129" spans="1:13" ht="12.75" customHeight="1" x14ac:dyDescent="0.3">
      <c r="A129" s="325"/>
      <c r="B129" s="187"/>
      <c r="C129" s="326"/>
      <c r="D129" s="49"/>
      <c r="E129" s="211"/>
      <c r="F129" s="31"/>
      <c r="G129" s="57"/>
      <c r="H129" s="222">
        <f>inkind[[#This Row],[Nr of units or Nr of hours]]*inkind[[#This Row],[Unit price or hourly rate]]</f>
        <v>0</v>
      </c>
      <c r="I129" s="86" t="str">
        <f>checks!B254</f>
        <v/>
      </c>
      <c r="J129" s="280"/>
      <c r="K129" s="281"/>
      <c r="L129" s="281"/>
      <c r="M129" s="282"/>
    </row>
    <row r="130" spans="1:13" ht="12.75" customHeight="1" x14ac:dyDescent="0.3">
      <c r="A130" s="325"/>
      <c r="B130" s="187"/>
      <c r="C130" s="326"/>
      <c r="D130" s="49"/>
      <c r="E130" s="211"/>
      <c r="F130" s="31"/>
      <c r="G130" s="57"/>
      <c r="H130" s="222">
        <f>inkind[[#This Row],[Nr of units or Nr of hours]]*inkind[[#This Row],[Unit price or hourly rate]]</f>
        <v>0</v>
      </c>
      <c r="I130" s="86" t="str">
        <f>checks!B255</f>
        <v/>
      </c>
      <c r="J130" s="280"/>
      <c r="K130" s="281"/>
      <c r="L130" s="281"/>
      <c r="M130" s="282"/>
    </row>
    <row r="131" spans="1:13" ht="12.75" customHeight="1" x14ac:dyDescent="0.3">
      <c r="A131" s="325"/>
      <c r="B131" s="187"/>
      <c r="C131" s="326"/>
      <c r="D131" s="49"/>
      <c r="E131" s="211"/>
      <c r="F131" s="31"/>
      <c r="G131" s="57"/>
      <c r="H131" s="222">
        <f>inkind[[#This Row],[Nr of units or Nr of hours]]*inkind[[#This Row],[Unit price or hourly rate]]</f>
        <v>0</v>
      </c>
      <c r="I131" s="86" t="str">
        <f>checks!B256</f>
        <v/>
      </c>
      <c r="J131" s="280"/>
      <c r="K131" s="281"/>
      <c r="L131" s="281"/>
      <c r="M131" s="282"/>
    </row>
    <row r="132" spans="1:13" ht="12.75" customHeight="1" x14ac:dyDescent="0.3">
      <c r="A132" s="325"/>
      <c r="B132" s="187"/>
      <c r="C132" s="326"/>
      <c r="D132" s="49"/>
      <c r="E132" s="211"/>
      <c r="F132" s="31"/>
      <c r="G132" s="57"/>
      <c r="H132" s="222">
        <f>inkind[[#This Row],[Nr of units or Nr of hours]]*inkind[[#This Row],[Unit price or hourly rate]]</f>
        <v>0</v>
      </c>
      <c r="I132" s="86" t="str">
        <f>checks!B257</f>
        <v/>
      </c>
      <c r="J132" s="280"/>
      <c r="K132" s="281"/>
      <c r="L132" s="281"/>
      <c r="M132" s="282"/>
    </row>
    <row r="133" spans="1:13" ht="12.75" customHeight="1" x14ac:dyDescent="0.3">
      <c r="A133" s="325"/>
      <c r="B133" s="187"/>
      <c r="C133" s="326"/>
      <c r="D133" s="49"/>
      <c r="E133" s="211"/>
      <c r="F133" s="31"/>
      <c r="G133" s="57"/>
      <c r="H133" s="222">
        <f>inkind[[#This Row],[Nr of units or Nr of hours]]*inkind[[#This Row],[Unit price or hourly rate]]</f>
        <v>0</v>
      </c>
      <c r="I133" s="86" t="str">
        <f>checks!B258</f>
        <v/>
      </c>
      <c r="J133" s="280"/>
      <c r="K133" s="281"/>
      <c r="L133" s="281"/>
      <c r="M133" s="282"/>
    </row>
    <row r="134" spans="1:13" ht="12.75" customHeight="1" x14ac:dyDescent="0.3">
      <c r="A134" s="325"/>
      <c r="B134" s="187"/>
      <c r="C134" s="326"/>
      <c r="D134" s="49"/>
      <c r="E134" s="211"/>
      <c r="F134" s="31"/>
      <c r="G134" s="57"/>
      <c r="H134" s="222">
        <f>inkind[[#This Row],[Nr of units or Nr of hours]]*inkind[[#This Row],[Unit price or hourly rate]]</f>
        <v>0</v>
      </c>
      <c r="I134" s="86" t="str">
        <f>checks!B259</f>
        <v/>
      </c>
      <c r="J134" s="280"/>
      <c r="K134" s="281"/>
      <c r="L134" s="281"/>
      <c r="M134" s="282"/>
    </row>
    <row r="135" spans="1:13" ht="12" customHeight="1" x14ac:dyDescent="0.3">
      <c r="A135" s="325"/>
      <c r="B135" s="187"/>
      <c r="C135" s="326"/>
      <c r="D135" s="49"/>
      <c r="E135" s="211"/>
      <c r="F135" s="31"/>
      <c r="G135" s="57"/>
      <c r="H135" s="222">
        <f>inkind[[#This Row],[Nr of units or Nr of hours]]*inkind[[#This Row],[Unit price or hourly rate]]</f>
        <v>0</v>
      </c>
      <c r="I135" s="86" t="str">
        <f>checks!B260</f>
        <v/>
      </c>
      <c r="J135" s="280"/>
      <c r="K135" s="281"/>
      <c r="L135" s="281"/>
      <c r="M135" s="282"/>
    </row>
    <row r="136" spans="1:13" ht="11.25" customHeight="1" x14ac:dyDescent="0.3">
      <c r="A136" s="325"/>
      <c r="B136" s="187"/>
      <c r="C136" s="326"/>
      <c r="D136" s="49"/>
      <c r="E136" s="211"/>
      <c r="F136" s="31"/>
      <c r="G136" s="57"/>
      <c r="H136" s="222">
        <f>inkind[[#This Row],[Nr of units or Nr of hours]]*inkind[[#This Row],[Unit price or hourly rate]]</f>
        <v>0</v>
      </c>
      <c r="I136" s="86" t="str">
        <f>checks!B261</f>
        <v/>
      </c>
      <c r="J136" s="280"/>
      <c r="K136" s="281"/>
      <c r="L136" s="281"/>
      <c r="M136" s="282"/>
    </row>
    <row r="137" spans="1:13" ht="11.25" customHeight="1" x14ac:dyDescent="0.3">
      <c r="A137" s="325"/>
      <c r="B137" s="187"/>
      <c r="C137" s="326"/>
      <c r="D137" s="49"/>
      <c r="E137" s="211"/>
      <c r="F137" s="31"/>
      <c r="G137" s="57"/>
      <c r="H137" s="222">
        <f>inkind[[#This Row],[Nr of units or Nr of hours]]*inkind[[#This Row],[Unit price or hourly rate]]</f>
        <v>0</v>
      </c>
      <c r="I137" s="86" t="str">
        <f>checks!B262</f>
        <v/>
      </c>
      <c r="J137" s="280"/>
      <c r="K137" s="281"/>
      <c r="L137" s="281"/>
      <c r="M137" s="282"/>
    </row>
    <row r="138" spans="1:13" ht="11.25" customHeight="1" x14ac:dyDescent="0.3">
      <c r="A138" s="325"/>
      <c r="B138" s="187"/>
      <c r="C138" s="326"/>
      <c r="D138" s="49"/>
      <c r="E138" s="211"/>
      <c r="F138" s="31"/>
      <c r="G138" s="57"/>
      <c r="H138" s="222">
        <f>inkind[[#This Row],[Nr of units or Nr of hours]]*inkind[[#This Row],[Unit price or hourly rate]]</f>
        <v>0</v>
      </c>
      <c r="I138" s="86" t="str">
        <f>checks!B263</f>
        <v/>
      </c>
      <c r="J138" s="280"/>
      <c r="K138" s="281"/>
      <c r="L138" s="281"/>
      <c r="M138" s="282"/>
    </row>
    <row r="139" spans="1:13" ht="11.25" customHeight="1" x14ac:dyDescent="0.3">
      <c r="A139" s="325"/>
      <c r="B139" s="187"/>
      <c r="C139" s="326"/>
      <c r="D139" s="49"/>
      <c r="E139" s="211"/>
      <c r="F139" s="31"/>
      <c r="G139" s="57"/>
      <c r="H139" s="222">
        <f>inkind[[#This Row],[Nr of units or Nr of hours]]*inkind[[#This Row],[Unit price or hourly rate]]</f>
        <v>0</v>
      </c>
      <c r="I139" s="86" t="str">
        <f>checks!B264</f>
        <v/>
      </c>
      <c r="J139" s="280"/>
      <c r="K139" s="281"/>
      <c r="L139" s="281"/>
      <c r="M139" s="282"/>
    </row>
    <row r="140" spans="1:13" ht="11.25" customHeight="1" x14ac:dyDescent="0.3">
      <c r="A140" s="329"/>
      <c r="B140" s="330"/>
      <c r="C140" s="326"/>
      <c r="D140" s="49"/>
      <c r="E140" s="211"/>
      <c r="F140" s="31"/>
      <c r="G140" s="57"/>
      <c r="H140" s="222">
        <f>inkind[[#This Row],[Nr of units or Nr of hours]]*inkind[[#This Row],[Unit price or hourly rate]]</f>
        <v>0</v>
      </c>
      <c r="I140" s="86" t="str">
        <f>checks!B265</f>
        <v/>
      </c>
      <c r="J140" s="274">
        <f>SUM(J125:J139)</f>
        <v>0</v>
      </c>
      <c r="K140" s="275"/>
      <c r="L140" s="275"/>
      <c r="M140" s="276"/>
    </row>
    <row r="141" spans="1:13" ht="11.25" customHeight="1" x14ac:dyDescent="0.3">
      <c r="A141" s="62"/>
      <c r="B141" s="199"/>
      <c r="C141" s="199"/>
      <c r="D141" s="56"/>
      <c r="E141" s="205" t="s">
        <v>7</v>
      </c>
      <c r="F141" s="212"/>
      <c r="G141" s="205"/>
      <c r="H141" s="7">
        <f>SUM(inkind[Amount])</f>
        <v>0</v>
      </c>
      <c r="I141" s="86"/>
      <c r="J141" s="166"/>
      <c r="K141" s="167"/>
      <c r="L141" s="167"/>
      <c r="M141" s="168"/>
    </row>
    <row r="142" spans="1:13" ht="11.25" customHeight="1" x14ac:dyDescent="0.3">
      <c r="A142" s="166" t="s">
        <v>48</v>
      </c>
      <c r="B142" s="167"/>
      <c r="C142" s="167"/>
      <c r="D142" s="167"/>
      <c r="E142" s="167"/>
      <c r="F142" s="167"/>
      <c r="G142" s="167"/>
      <c r="H142" s="168"/>
      <c r="I142" s="12" t="s">
        <v>559</v>
      </c>
      <c r="J142" s="284"/>
      <c r="K142" s="297"/>
      <c r="L142" s="297"/>
      <c r="M142" s="296"/>
    </row>
    <row r="143" spans="1:13" ht="11.25" customHeight="1" x14ac:dyDescent="0.3">
      <c r="A143" s="299" t="s">
        <v>558</v>
      </c>
      <c r="B143" s="34" t="s">
        <v>151</v>
      </c>
      <c r="C143" s="34" t="s">
        <v>152</v>
      </c>
      <c r="D143" s="34" t="s">
        <v>153</v>
      </c>
      <c r="E143" s="34" t="s">
        <v>604</v>
      </c>
      <c r="F143" s="26" t="s">
        <v>39</v>
      </c>
      <c r="G143" s="30" t="s">
        <v>599</v>
      </c>
      <c r="H143" s="35" t="s">
        <v>10</v>
      </c>
      <c r="I143" s="93"/>
      <c r="J143" s="277"/>
      <c r="K143" s="278"/>
      <c r="L143" s="278"/>
      <c r="M143" s="279"/>
    </row>
    <row r="144" spans="1:13" ht="11.25" customHeight="1" x14ac:dyDescent="0.3">
      <c r="A144" s="42"/>
      <c r="B144" s="90"/>
      <c r="C144" s="91"/>
      <c r="D144" s="202"/>
      <c r="E144" s="204"/>
      <c r="F144" s="89"/>
      <c r="G144" s="206"/>
      <c r="H144" s="59"/>
      <c r="I144" s="86" t="str">
        <f>IF(AND(LEN($A144)&gt;0,LEN($A143)=0,empty_lines="no"),checks!$B$34,"")</f>
        <v/>
      </c>
      <c r="J144" s="280"/>
      <c r="K144" s="281"/>
      <c r="L144" s="281"/>
      <c r="M144" s="282"/>
    </row>
    <row r="145" spans="1:13" ht="11.25" customHeight="1" x14ac:dyDescent="0.3">
      <c r="A145" s="40"/>
      <c r="B145" s="50"/>
      <c r="C145" s="92"/>
      <c r="D145" s="203"/>
      <c r="E145" s="203"/>
      <c r="F145" s="60"/>
      <c r="G145" s="207"/>
      <c r="H145" s="61"/>
      <c r="I145" s="86" t="str">
        <f>IF(AND(LEN($A145)&gt;0,LEN($A144)=0,empty_lines="no"),checks!$B$34,"")</f>
        <v/>
      </c>
      <c r="J145" s="280"/>
      <c r="K145" s="281"/>
      <c r="L145" s="281"/>
      <c r="M145" s="282"/>
    </row>
    <row r="146" spans="1:13" ht="11.25" customHeight="1" x14ac:dyDescent="0.3">
      <c r="A146" s="40"/>
      <c r="B146" s="50"/>
      <c r="C146" s="92"/>
      <c r="D146" s="203"/>
      <c r="E146" s="203"/>
      <c r="F146" s="60"/>
      <c r="G146" s="207"/>
      <c r="H146" s="61"/>
      <c r="I146" s="86" t="str">
        <f>IF(AND(LEN($A146)&gt;0,LEN($A145)=0,empty_lines="no"),checks!$B$34,"")</f>
        <v/>
      </c>
      <c r="J146" s="280"/>
      <c r="K146" s="281"/>
      <c r="L146" s="281"/>
      <c r="M146" s="282"/>
    </row>
    <row r="147" spans="1:13" ht="11.25" customHeight="1" x14ac:dyDescent="0.3">
      <c r="A147" s="40"/>
      <c r="B147" s="50"/>
      <c r="C147" s="92"/>
      <c r="D147" s="203"/>
      <c r="E147" s="203"/>
      <c r="F147" s="60"/>
      <c r="G147" s="207"/>
      <c r="H147" s="61"/>
      <c r="I147" s="86" t="str">
        <f>IF(AND(LEN($A147)&gt;0,LEN($A146)=0,empty_lines="no"),checks!$B$34,"")</f>
        <v/>
      </c>
      <c r="J147" s="280"/>
      <c r="K147" s="281"/>
      <c r="L147" s="281"/>
      <c r="M147" s="282"/>
    </row>
    <row r="148" spans="1:13" ht="11.25" customHeight="1" x14ac:dyDescent="0.3">
      <c r="A148" s="40"/>
      <c r="B148" s="50"/>
      <c r="C148" s="92"/>
      <c r="D148" s="203"/>
      <c r="E148" s="203"/>
      <c r="F148" s="60"/>
      <c r="G148" s="207"/>
      <c r="H148" s="61"/>
      <c r="I148" s="86" t="str">
        <f>IF(AND(LEN($A148)&gt;0,LEN($A147)=0,empty_lines="no"),checks!$B$34,"")</f>
        <v/>
      </c>
      <c r="J148" s="280"/>
      <c r="K148" s="281"/>
      <c r="L148" s="281"/>
      <c r="M148" s="282"/>
    </row>
    <row r="149" spans="1:13" ht="11.25" customHeight="1" x14ac:dyDescent="0.3">
      <c r="A149" s="40"/>
      <c r="B149" s="50"/>
      <c r="C149" s="92"/>
      <c r="D149" s="203"/>
      <c r="E149" s="203"/>
      <c r="F149" s="60"/>
      <c r="G149" s="207"/>
      <c r="H149" s="61"/>
      <c r="I149" s="86" t="str">
        <f>IF(AND(LEN($A149)&gt;0,LEN($A148)=0,empty_lines="no"),checks!$B$34,"")</f>
        <v/>
      </c>
      <c r="J149" s="280"/>
      <c r="K149" s="281"/>
      <c r="L149" s="281"/>
      <c r="M149" s="282"/>
    </row>
    <row r="150" spans="1:13" ht="11.25" customHeight="1" x14ac:dyDescent="0.3">
      <c r="A150" s="40"/>
      <c r="B150" s="50"/>
      <c r="C150" s="92"/>
      <c r="D150" s="203"/>
      <c r="E150" s="203"/>
      <c r="F150" s="60"/>
      <c r="G150" s="207"/>
      <c r="H150" s="61"/>
      <c r="I150" s="86" t="str">
        <f>IF(AND(LEN($A150)&gt;0,LEN($A149)=0,empty_lines="no"),checks!$B$34,"")</f>
        <v/>
      </c>
      <c r="J150" s="280"/>
      <c r="K150" s="281"/>
      <c r="L150" s="281"/>
      <c r="M150" s="282"/>
    </row>
    <row r="151" spans="1:13" ht="11.25" customHeight="1" x14ac:dyDescent="0.3">
      <c r="A151" s="40"/>
      <c r="B151" s="50"/>
      <c r="C151" s="92"/>
      <c r="D151" s="203"/>
      <c r="E151" s="203"/>
      <c r="F151" s="60"/>
      <c r="G151" s="207"/>
      <c r="H151" s="61"/>
      <c r="I151" s="86" t="str">
        <f>IF(AND(LEN($A151)&gt;0,LEN($A150)=0,empty_lines="no"),checks!$B$34,"")</f>
        <v/>
      </c>
      <c r="J151" s="280"/>
      <c r="K151" s="281"/>
      <c r="L151" s="281"/>
      <c r="M151" s="282"/>
    </row>
    <row r="152" spans="1:13" ht="11.25" customHeight="1" x14ac:dyDescent="0.3">
      <c r="A152" s="40"/>
      <c r="B152" s="50"/>
      <c r="C152" s="92"/>
      <c r="D152" s="203"/>
      <c r="E152" s="203"/>
      <c r="F152" s="60"/>
      <c r="G152" s="207"/>
      <c r="H152" s="61"/>
      <c r="I152" s="86" t="str">
        <f>IF(AND(LEN($A152)&gt;0,LEN($A151)=0,empty_lines="no"),checks!$B$34,"")</f>
        <v/>
      </c>
      <c r="J152" s="280"/>
      <c r="K152" s="281"/>
      <c r="L152" s="281"/>
      <c r="M152" s="282"/>
    </row>
    <row r="153" spans="1:13" ht="11.25" customHeight="1" x14ac:dyDescent="0.3">
      <c r="A153" s="40"/>
      <c r="B153" s="50"/>
      <c r="C153" s="92"/>
      <c r="D153" s="203"/>
      <c r="E153" s="203"/>
      <c r="F153" s="60"/>
      <c r="G153" s="207"/>
      <c r="H153" s="61"/>
      <c r="I153" s="86" t="str">
        <f>IF(AND(LEN($A153)&gt;0,LEN($A152)=0,empty_lines="no"),checks!$B$34,"")</f>
        <v/>
      </c>
      <c r="J153" s="274">
        <f>SUM(J143:J152)</f>
        <v>0</v>
      </c>
      <c r="K153" s="275"/>
      <c r="L153" s="275"/>
      <c r="M153" s="276"/>
    </row>
    <row r="154" spans="1:13" ht="11.25" customHeight="1" x14ac:dyDescent="0.3">
      <c r="A154" s="62"/>
      <c r="B154" s="199"/>
      <c r="C154" s="199"/>
      <c r="D154" s="199"/>
      <c r="E154" s="205" t="s">
        <v>7</v>
      </c>
      <c r="F154" s="191"/>
      <c r="G154" s="205"/>
      <c r="H154" s="208">
        <f>SUM(incash[Amount])</f>
        <v>0</v>
      </c>
      <c r="I154" s="86"/>
      <c r="J154" s="286">
        <f>SUM(J140,J153)</f>
        <v>0</v>
      </c>
      <c r="K154" s="298"/>
      <c r="L154" s="298"/>
      <c r="M154" s="298"/>
    </row>
    <row r="155" spans="1:13" ht="11.25" customHeight="1" x14ac:dyDescent="0.3">
      <c r="A155" s="225"/>
      <c r="B155" s="226"/>
      <c r="C155" s="226"/>
      <c r="D155" s="226"/>
      <c r="E155" s="228" t="s">
        <v>35</v>
      </c>
      <c r="F155" s="235"/>
      <c r="G155" s="228"/>
      <c r="H155" s="229" cm="1">
        <f t="array" ref="H155">Total_cofunding_inkind+Total_cofunding_incash</f>
        <v>0</v>
      </c>
      <c r="I155" s="86" t="str">
        <f ca="1">cofunding_comb_notes[Combined notes]</f>
        <v/>
      </c>
    </row>
    <row r="156" spans="1:13" ht="11.25" customHeight="1" x14ac:dyDescent="0.3"/>
    <row r="157" spans="1:13" ht="11.25" hidden="1" customHeight="1" x14ac:dyDescent="0.3"/>
    <row r="158" spans="1:13" ht="11.25" hidden="1" customHeight="1" x14ac:dyDescent="0.3"/>
    <row r="159" spans="1:13" ht="11.25" hidden="1" customHeight="1" x14ac:dyDescent="0.3"/>
    <row r="160" spans="1:13" ht="11.25" hidden="1" customHeight="1" x14ac:dyDescent="0.3"/>
    <row r="161" ht="11.25" hidden="1" customHeight="1" x14ac:dyDescent="0.3"/>
    <row r="162" ht="11.25" hidden="1" customHeight="1" x14ac:dyDescent="0.3"/>
    <row r="163" ht="11.25" hidden="1" customHeight="1" x14ac:dyDescent="0.3"/>
    <row r="164" ht="11.25" hidden="1" customHeight="1" x14ac:dyDescent="0.3"/>
    <row r="165" ht="11.25" hidden="1" customHeight="1" x14ac:dyDescent="0.3"/>
    <row r="166" ht="11.25" hidden="1" customHeight="1" x14ac:dyDescent="0.3"/>
    <row r="167" ht="11.25" hidden="1" customHeight="1" x14ac:dyDescent="0.3"/>
    <row r="168" ht="11.25" hidden="1" customHeight="1" x14ac:dyDescent="0.3"/>
    <row r="169" ht="11.25" hidden="1" customHeight="1" x14ac:dyDescent="0.3"/>
    <row r="170" ht="11.25" hidden="1" customHeight="1" x14ac:dyDescent="0.3"/>
    <row r="171" ht="11.25" hidden="1" customHeight="1" x14ac:dyDescent="0.3"/>
    <row r="172" ht="11.25" hidden="1" customHeight="1" x14ac:dyDescent="0.3"/>
    <row r="173" ht="11.25" hidden="1" customHeight="1" x14ac:dyDescent="0.3"/>
    <row r="174" ht="11.25" hidden="1" customHeight="1" x14ac:dyDescent="0.3"/>
    <row r="175" ht="11.25" hidden="1" customHeight="1" x14ac:dyDescent="0.3"/>
    <row r="176" ht="11.25" hidden="1" customHeight="1" x14ac:dyDescent="0.3"/>
    <row r="177" ht="11.25" hidden="1" customHeight="1" x14ac:dyDescent="0.3"/>
    <row r="178" ht="11.25" hidden="1" customHeight="1" x14ac:dyDescent="0.3"/>
    <row r="179" ht="11.25" hidden="1" customHeight="1" x14ac:dyDescent="0.3"/>
    <row r="180" ht="11.25" hidden="1" customHeight="1" x14ac:dyDescent="0.3"/>
    <row r="181" ht="11.25" hidden="1" customHeight="1" x14ac:dyDescent="0.3"/>
    <row r="182" ht="11.25" hidden="1" customHeight="1" x14ac:dyDescent="0.3"/>
    <row r="183" ht="11.25" hidden="1" customHeight="1" x14ac:dyDescent="0.3"/>
    <row r="184" ht="11.25" hidden="1" customHeight="1" x14ac:dyDescent="0.3"/>
    <row r="185" ht="11.25" hidden="1" customHeight="1" x14ac:dyDescent="0.3"/>
    <row r="186" ht="11.25" hidden="1" customHeight="1" x14ac:dyDescent="0.3"/>
    <row r="187" ht="11.25" hidden="1" customHeight="1" x14ac:dyDescent="0.3"/>
    <row r="188" ht="11.25" hidden="1" customHeight="1" x14ac:dyDescent="0.3"/>
    <row r="189" ht="11.25" hidden="1" customHeight="1" x14ac:dyDescent="0.3"/>
    <row r="190" ht="11.25" hidden="1" customHeight="1" x14ac:dyDescent="0.3"/>
    <row r="191" ht="11.25" hidden="1" customHeight="1" x14ac:dyDescent="0.3"/>
    <row r="192" ht="11.25" hidden="1" customHeight="1" x14ac:dyDescent="0.3"/>
    <row r="193" ht="11.25" hidden="1" customHeight="1" x14ac:dyDescent="0.3"/>
    <row r="194" ht="11.25" hidden="1" customHeight="1" x14ac:dyDescent="0.3"/>
    <row r="195" ht="11.25" hidden="1" customHeight="1" x14ac:dyDescent="0.3"/>
    <row r="196" ht="11.25" hidden="1" customHeight="1" x14ac:dyDescent="0.3"/>
    <row r="197" ht="11.25" hidden="1" customHeight="1" x14ac:dyDescent="0.3"/>
    <row r="198" ht="11.25" hidden="1" customHeight="1" x14ac:dyDescent="0.3"/>
    <row r="199" ht="11.25" hidden="1" customHeight="1" x14ac:dyDescent="0.3"/>
    <row r="200" ht="11.25" hidden="1" customHeight="1" x14ac:dyDescent="0.3"/>
    <row r="201" ht="11.25" hidden="1" customHeight="1" x14ac:dyDescent="0.3"/>
    <row r="202" ht="11.25" hidden="1" customHeight="1" x14ac:dyDescent="0.3"/>
    <row r="203" ht="11.25" hidden="1" customHeight="1" x14ac:dyDescent="0.3"/>
    <row r="204" ht="11.25" hidden="1" customHeight="1" x14ac:dyDescent="0.3"/>
    <row r="205" ht="11.25" hidden="1" customHeight="1" x14ac:dyDescent="0.3"/>
    <row r="206" ht="11.25" hidden="1" customHeight="1" x14ac:dyDescent="0.3"/>
    <row r="207" ht="11.25" hidden="1" customHeight="1" x14ac:dyDescent="0.3"/>
    <row r="208" ht="11.25" hidden="1" customHeight="1" x14ac:dyDescent="0.3"/>
    <row r="209" ht="11.25" hidden="1" customHeight="1" x14ac:dyDescent="0.3"/>
    <row r="210" ht="11.25" hidden="1" customHeight="1" x14ac:dyDescent="0.3"/>
    <row r="211" ht="11.25" hidden="1" customHeight="1" x14ac:dyDescent="0.3"/>
    <row r="212" ht="11.25" hidden="1" customHeight="1" x14ac:dyDescent="0.3"/>
    <row r="213" ht="11.25" hidden="1" customHeight="1" x14ac:dyDescent="0.3"/>
    <row r="214" ht="11.25" hidden="1" customHeight="1" x14ac:dyDescent="0.3"/>
    <row r="215" ht="11.25" hidden="1" customHeight="1" x14ac:dyDescent="0.3"/>
    <row r="216" ht="11.25" hidden="1" customHeight="1" x14ac:dyDescent="0.3"/>
    <row r="217" ht="11.25" hidden="1" customHeight="1" x14ac:dyDescent="0.3"/>
    <row r="218" ht="11.25" hidden="1" customHeight="1" x14ac:dyDescent="0.3"/>
    <row r="219" ht="11.25" hidden="1" customHeight="1" x14ac:dyDescent="0.3"/>
    <row r="220" ht="11.25" hidden="1" customHeight="1" x14ac:dyDescent="0.3"/>
    <row r="221" ht="11.25" hidden="1" customHeight="1" x14ac:dyDescent="0.3"/>
    <row r="222" ht="11.25" hidden="1" customHeight="1" x14ac:dyDescent="0.3"/>
    <row r="223" ht="11.25" hidden="1" customHeight="1" x14ac:dyDescent="0.3"/>
    <row r="224" ht="11.25" hidden="1" customHeight="1" x14ac:dyDescent="0.3"/>
    <row r="225" ht="11.25" hidden="1" customHeight="1" x14ac:dyDescent="0.3"/>
    <row r="226" ht="11.25" hidden="1" customHeight="1" x14ac:dyDescent="0.3"/>
    <row r="227" ht="11.25" hidden="1" customHeight="1" x14ac:dyDescent="0.3"/>
    <row r="228" ht="11.25" hidden="1" customHeight="1" x14ac:dyDescent="0.3"/>
    <row r="229" ht="11.25" hidden="1" customHeight="1" x14ac:dyDescent="0.3"/>
    <row r="230" ht="11.25" hidden="1" customHeight="1" x14ac:dyDescent="0.3"/>
    <row r="231" ht="11.25" hidden="1" customHeight="1" x14ac:dyDescent="0.3"/>
    <row r="232" ht="11.25" hidden="1" customHeight="1" x14ac:dyDescent="0.3"/>
    <row r="233" ht="11.25" hidden="1" customHeight="1" x14ac:dyDescent="0.3"/>
    <row r="234" ht="11.25" hidden="1" customHeight="1" x14ac:dyDescent="0.3"/>
    <row r="235" ht="11.25" hidden="1" customHeight="1" x14ac:dyDescent="0.3"/>
    <row r="236" ht="11.25" hidden="1" customHeight="1" x14ac:dyDescent="0.3"/>
    <row r="237" ht="11.25" hidden="1" customHeight="1" x14ac:dyDescent="0.3"/>
    <row r="238" ht="11.25" hidden="1" customHeight="1" x14ac:dyDescent="0.3"/>
    <row r="239" ht="12.75" hidden="1" customHeight="1" x14ac:dyDescent="0.3"/>
    <row r="240" ht="11.25" hidden="1" customHeight="1" x14ac:dyDescent="0.3"/>
    <row r="241" ht="12.75" hidden="1" customHeight="1" x14ac:dyDescent="0.3"/>
    <row r="242" ht="12.75" hidden="1" customHeight="1" x14ac:dyDescent="0.3"/>
    <row r="243" ht="15" hidden="1" customHeight="1" x14ac:dyDescent="0.3"/>
    <row r="244" ht="11.25" hidden="1" customHeight="1" x14ac:dyDescent="0.3"/>
    <row r="245" ht="11.25" hidden="1" customHeight="1" x14ac:dyDescent="0.3"/>
    <row r="246" ht="11.25" hidden="1" customHeight="1" x14ac:dyDescent="0.3"/>
    <row r="247" ht="11.25" hidden="1" customHeight="1" x14ac:dyDescent="0.3"/>
    <row r="248" ht="11.25" hidden="1" customHeight="1" x14ac:dyDescent="0.3"/>
    <row r="249" ht="11.25" hidden="1" customHeight="1" x14ac:dyDescent="0.3"/>
    <row r="250" ht="11.25" hidden="1" customHeight="1" x14ac:dyDescent="0.3"/>
    <row r="251" ht="11.25" hidden="1" customHeight="1" x14ac:dyDescent="0.3"/>
    <row r="252" ht="11.25" hidden="1" customHeight="1" x14ac:dyDescent="0.3"/>
    <row r="253" ht="11.25" hidden="1" customHeight="1" x14ac:dyDescent="0.3"/>
    <row r="254" ht="11.25" hidden="1" customHeight="1" x14ac:dyDescent="0.3"/>
    <row r="255" ht="11.25" hidden="1" customHeight="1" x14ac:dyDescent="0.3"/>
    <row r="256" ht="11.25" hidden="1" customHeight="1" x14ac:dyDescent="0.3"/>
    <row r="257" ht="11.25" hidden="1" customHeight="1" x14ac:dyDescent="0.3"/>
    <row r="258" ht="11.25" hidden="1" customHeight="1" x14ac:dyDescent="0.3"/>
    <row r="259" ht="11.25" hidden="1" customHeight="1" x14ac:dyDescent="0.3"/>
    <row r="260" ht="11.25" hidden="1" customHeight="1" x14ac:dyDescent="0.3"/>
    <row r="261" ht="11.25" hidden="1" customHeight="1" x14ac:dyDescent="0.3"/>
    <row r="262" ht="11.25" hidden="1" customHeight="1" x14ac:dyDescent="0.3"/>
    <row r="263" ht="11.25" hidden="1" customHeight="1" x14ac:dyDescent="0.3"/>
    <row r="264" ht="11.25" hidden="1" customHeight="1" x14ac:dyDescent="0.3"/>
    <row r="265" ht="11.25" hidden="1" customHeight="1" x14ac:dyDescent="0.3"/>
    <row r="266" ht="11.25" hidden="1" customHeight="1" x14ac:dyDescent="0.3"/>
    <row r="267" ht="11.25" hidden="1" customHeight="1" x14ac:dyDescent="0.3"/>
    <row r="268" ht="11.25" hidden="1" customHeight="1" x14ac:dyDescent="0.3"/>
    <row r="269" ht="11.25" hidden="1" customHeight="1" x14ac:dyDescent="0.3"/>
    <row r="270" ht="11.25" hidden="1" customHeight="1" x14ac:dyDescent="0.3"/>
    <row r="271" ht="11.25" hidden="1" customHeight="1" x14ac:dyDescent="0.3"/>
    <row r="272" ht="11.25" hidden="1" customHeight="1" x14ac:dyDescent="0.3"/>
    <row r="273" ht="11.25" hidden="1" customHeight="1" x14ac:dyDescent="0.3"/>
    <row r="274" ht="11.25" hidden="1" customHeight="1" x14ac:dyDescent="0.3"/>
    <row r="275" ht="11.25" hidden="1" customHeight="1" x14ac:dyDescent="0.3"/>
    <row r="276" ht="11.25" hidden="1" customHeight="1" x14ac:dyDescent="0.3"/>
    <row r="277" ht="11.25" hidden="1" customHeight="1" x14ac:dyDescent="0.3"/>
    <row r="278" ht="11.25" hidden="1" customHeight="1" x14ac:dyDescent="0.3"/>
    <row r="279" ht="11.25" hidden="1" customHeight="1" x14ac:dyDescent="0.3"/>
    <row r="280" ht="11.25" hidden="1" customHeight="1" x14ac:dyDescent="0.3"/>
    <row r="281" ht="11.25" hidden="1" customHeight="1" x14ac:dyDescent="0.3"/>
    <row r="282" ht="11.25" hidden="1" customHeight="1" x14ac:dyDescent="0.3"/>
    <row r="283" ht="11.25" hidden="1" customHeight="1" x14ac:dyDescent="0.3"/>
    <row r="284" ht="11.25" hidden="1" customHeight="1" x14ac:dyDescent="0.3"/>
    <row r="285" ht="11.25" hidden="1" customHeight="1" x14ac:dyDescent="0.3"/>
    <row r="286" ht="11.25" hidden="1" customHeight="1" x14ac:dyDescent="0.3"/>
    <row r="287" ht="11.25" hidden="1" customHeight="1" x14ac:dyDescent="0.3"/>
    <row r="288" ht="11.25" hidden="1" customHeight="1" x14ac:dyDescent="0.3"/>
    <row r="289" ht="11.25" hidden="1" customHeight="1" x14ac:dyDescent="0.3"/>
    <row r="290" ht="11.25" hidden="1" customHeight="1" x14ac:dyDescent="0.3"/>
    <row r="291" ht="11.25" hidden="1" customHeight="1" x14ac:dyDescent="0.3"/>
    <row r="292" ht="11.25" hidden="1" customHeight="1" x14ac:dyDescent="0.3"/>
    <row r="293" ht="11.25" hidden="1" customHeight="1" x14ac:dyDescent="0.3"/>
    <row r="294" ht="11.25" hidden="1" customHeight="1" x14ac:dyDescent="0.3"/>
    <row r="295" ht="11.25" hidden="1" customHeight="1" x14ac:dyDescent="0.3"/>
    <row r="296" ht="11.25" hidden="1" customHeight="1" x14ac:dyDescent="0.3"/>
    <row r="297" ht="11.25" hidden="1" customHeight="1" x14ac:dyDescent="0.3"/>
    <row r="298" ht="11.25" hidden="1" customHeight="1" x14ac:dyDescent="0.3"/>
    <row r="299" ht="11.25" hidden="1" customHeight="1" x14ac:dyDescent="0.3"/>
    <row r="300" ht="11.25" hidden="1" customHeight="1" x14ac:dyDescent="0.3"/>
    <row r="301" ht="11.25" hidden="1" customHeight="1" x14ac:dyDescent="0.3"/>
    <row r="302" ht="11.25" hidden="1" customHeight="1" x14ac:dyDescent="0.3"/>
    <row r="303" ht="11.25" hidden="1" customHeight="1" x14ac:dyDescent="0.3"/>
    <row r="304" ht="11.25" hidden="1" customHeight="1" x14ac:dyDescent="0.3"/>
    <row r="305" ht="11.25" hidden="1" customHeight="1" x14ac:dyDescent="0.3"/>
    <row r="306" ht="11.25" hidden="1" customHeight="1" x14ac:dyDescent="0.3"/>
    <row r="307" ht="11.25" hidden="1" customHeight="1" x14ac:dyDescent="0.3"/>
    <row r="308" ht="11.25" hidden="1" customHeight="1" x14ac:dyDescent="0.3"/>
    <row r="309" ht="11.25" hidden="1" customHeight="1" x14ac:dyDescent="0.3"/>
    <row r="310" ht="11.25" hidden="1" customHeight="1" x14ac:dyDescent="0.3"/>
    <row r="311" ht="11.25" hidden="1" customHeight="1" x14ac:dyDescent="0.3"/>
    <row r="312" ht="11.25" hidden="1" customHeight="1" x14ac:dyDescent="0.3"/>
    <row r="313" ht="11.25" hidden="1" customHeight="1" x14ac:dyDescent="0.3"/>
    <row r="314" ht="11.25" hidden="1" customHeight="1" x14ac:dyDescent="0.3"/>
    <row r="315" ht="11.25" hidden="1" customHeight="1" x14ac:dyDescent="0.3"/>
    <row r="316" ht="11.25" hidden="1" customHeight="1" x14ac:dyDescent="0.3"/>
    <row r="317" ht="11.25" hidden="1" customHeight="1" x14ac:dyDescent="0.3"/>
    <row r="318" ht="11.25" hidden="1" customHeight="1" x14ac:dyDescent="0.3"/>
    <row r="319" ht="11.25" hidden="1" customHeight="1" x14ac:dyDescent="0.3"/>
    <row r="320" ht="11.25" hidden="1" customHeight="1" x14ac:dyDescent="0.3"/>
    <row r="321" ht="11.25" hidden="1" customHeight="1" x14ac:dyDescent="0.3"/>
    <row r="322" ht="11.25" hidden="1" customHeight="1" x14ac:dyDescent="0.3"/>
    <row r="323" ht="11.25" hidden="1" customHeight="1" x14ac:dyDescent="0.3"/>
    <row r="324" ht="11.25" hidden="1" customHeight="1" x14ac:dyDescent="0.3"/>
    <row r="325" ht="11.25" hidden="1" customHeight="1" x14ac:dyDescent="0.3"/>
    <row r="326" ht="11.25" hidden="1" customHeight="1" x14ac:dyDescent="0.3"/>
    <row r="327" ht="11.25" hidden="1" customHeight="1" x14ac:dyDescent="0.3"/>
    <row r="328" ht="11.25" hidden="1" customHeight="1" x14ac:dyDescent="0.3"/>
    <row r="329" ht="11.25" hidden="1" customHeight="1" x14ac:dyDescent="0.3"/>
    <row r="330" ht="11.25" hidden="1" customHeight="1" x14ac:dyDescent="0.3"/>
    <row r="331" ht="11.25" hidden="1" customHeight="1" x14ac:dyDescent="0.3"/>
    <row r="332" ht="11.25" hidden="1" customHeight="1" x14ac:dyDescent="0.3"/>
    <row r="333" ht="11.25" hidden="1" customHeight="1" x14ac:dyDescent="0.3"/>
    <row r="334" ht="11.25" hidden="1" customHeight="1" x14ac:dyDescent="0.3"/>
    <row r="335" ht="11.25" hidden="1" customHeight="1" x14ac:dyDescent="0.3"/>
    <row r="336" ht="11.25" hidden="1" customHeight="1" x14ac:dyDescent="0.3"/>
    <row r="337" ht="11.25" hidden="1" customHeight="1" x14ac:dyDescent="0.3"/>
    <row r="338" ht="11.25" hidden="1" customHeight="1" x14ac:dyDescent="0.3"/>
    <row r="339" ht="11.25" hidden="1" customHeight="1" x14ac:dyDescent="0.3"/>
    <row r="340" ht="11.25" hidden="1" customHeight="1" x14ac:dyDescent="0.3"/>
    <row r="341" ht="11.25" hidden="1" customHeight="1" x14ac:dyDescent="0.3"/>
    <row r="342" ht="11.25" hidden="1" customHeight="1" x14ac:dyDescent="0.3"/>
    <row r="343" ht="11.25" hidden="1" customHeight="1" x14ac:dyDescent="0.3"/>
    <row r="344" ht="12.75" hidden="1" customHeight="1" x14ac:dyDescent="0.3"/>
    <row r="345" ht="11.25" hidden="1" customHeight="1" x14ac:dyDescent="0.3"/>
    <row r="346" ht="12.75" hidden="1" customHeight="1" x14ac:dyDescent="0.3"/>
    <row r="347" ht="15" hidden="1" customHeight="1" x14ac:dyDescent="0.3"/>
    <row r="348" ht="11.25" hidden="1" customHeight="1" x14ac:dyDescent="0.3"/>
    <row r="349" ht="11.25" hidden="1" customHeight="1" x14ac:dyDescent="0.3"/>
    <row r="350" ht="11.25" hidden="1" customHeight="1" x14ac:dyDescent="0.3"/>
    <row r="351" ht="11.25" hidden="1" customHeight="1" x14ac:dyDescent="0.3"/>
    <row r="352" ht="11.25" hidden="1" customHeight="1" x14ac:dyDescent="0.3"/>
    <row r="353" ht="11.25" hidden="1" customHeight="1" x14ac:dyDescent="0.3"/>
    <row r="354" ht="11.25" hidden="1" customHeight="1" x14ac:dyDescent="0.3"/>
    <row r="355" ht="11.25" hidden="1" customHeight="1" x14ac:dyDescent="0.3"/>
    <row r="356" ht="11.25" hidden="1" customHeight="1" x14ac:dyDescent="0.3"/>
    <row r="357" ht="11.25" hidden="1" customHeight="1" x14ac:dyDescent="0.3"/>
    <row r="358" ht="11.25" hidden="1" customHeight="1" x14ac:dyDescent="0.3"/>
    <row r="359" ht="11.25" hidden="1" customHeight="1" x14ac:dyDescent="0.3"/>
    <row r="360" ht="11.25" hidden="1" customHeight="1" x14ac:dyDescent="0.3"/>
    <row r="361" ht="11.25" hidden="1" customHeight="1" x14ac:dyDescent="0.3"/>
    <row r="362" ht="11.25" hidden="1" customHeight="1" x14ac:dyDescent="0.3"/>
    <row r="363" ht="11.25" hidden="1" customHeight="1" x14ac:dyDescent="0.3"/>
    <row r="364" ht="11.25" hidden="1" customHeight="1" x14ac:dyDescent="0.3"/>
    <row r="365" ht="11.25" hidden="1" customHeight="1" x14ac:dyDescent="0.3"/>
    <row r="366" ht="11.25" hidden="1" customHeight="1" x14ac:dyDescent="0.3"/>
    <row r="367" ht="11.25" hidden="1" customHeight="1" x14ac:dyDescent="0.3"/>
    <row r="368" ht="11.25" hidden="1" customHeight="1" x14ac:dyDescent="0.3"/>
    <row r="369" ht="11.25" hidden="1" customHeight="1" x14ac:dyDescent="0.3"/>
    <row r="370" ht="11.25" hidden="1" customHeight="1" x14ac:dyDescent="0.3"/>
    <row r="371" ht="11.25" hidden="1" customHeight="1" x14ac:dyDescent="0.3"/>
    <row r="372" ht="11.25" hidden="1" customHeight="1" x14ac:dyDescent="0.3"/>
    <row r="373" ht="11.25" hidden="1" customHeight="1" x14ac:dyDescent="0.3"/>
    <row r="374" ht="11.25" hidden="1" customHeight="1" x14ac:dyDescent="0.3"/>
    <row r="375" ht="11.25" hidden="1" customHeight="1" x14ac:dyDescent="0.3"/>
    <row r="376" ht="11.25" hidden="1" customHeight="1" x14ac:dyDescent="0.3"/>
    <row r="377" ht="11.25" hidden="1" customHeight="1" x14ac:dyDescent="0.3"/>
    <row r="378" ht="11.25" hidden="1" customHeight="1" x14ac:dyDescent="0.3"/>
    <row r="379" ht="11.25" hidden="1" customHeight="1" x14ac:dyDescent="0.3"/>
    <row r="380" ht="11.25" hidden="1" customHeight="1" x14ac:dyDescent="0.3"/>
    <row r="381" ht="11.25" hidden="1" customHeight="1" x14ac:dyDescent="0.3"/>
    <row r="382" ht="11.25" hidden="1" customHeight="1" x14ac:dyDescent="0.3"/>
    <row r="383" ht="11.25" hidden="1" customHeight="1" x14ac:dyDescent="0.3"/>
    <row r="384" ht="11.25" hidden="1" customHeight="1" x14ac:dyDescent="0.3"/>
    <row r="385" ht="11.25" hidden="1" customHeight="1" x14ac:dyDescent="0.3"/>
    <row r="386" ht="11.25" hidden="1" customHeight="1" x14ac:dyDescent="0.3"/>
    <row r="387" ht="11.25" hidden="1" customHeight="1" x14ac:dyDescent="0.3"/>
    <row r="388" ht="11.25" hidden="1" customHeight="1" x14ac:dyDescent="0.3"/>
    <row r="389" ht="11.25" hidden="1" customHeight="1" x14ac:dyDescent="0.3"/>
    <row r="390" ht="11.25" hidden="1" customHeight="1" x14ac:dyDescent="0.3"/>
    <row r="391" ht="11.25" hidden="1" customHeight="1" x14ac:dyDescent="0.3"/>
    <row r="392" ht="11.25" hidden="1" customHeight="1" x14ac:dyDescent="0.3"/>
    <row r="393" ht="11.25" hidden="1" customHeight="1" x14ac:dyDescent="0.3"/>
    <row r="394" ht="11.25" hidden="1" customHeight="1" x14ac:dyDescent="0.3"/>
    <row r="395" ht="11.25" hidden="1" customHeight="1" x14ac:dyDescent="0.3"/>
    <row r="396" ht="11.25" hidden="1" customHeight="1" x14ac:dyDescent="0.3"/>
    <row r="397" ht="11.25" hidden="1" customHeight="1" x14ac:dyDescent="0.3"/>
    <row r="398" ht="11.25" hidden="1" customHeight="1" x14ac:dyDescent="0.3"/>
    <row r="399" ht="11.25" hidden="1" customHeight="1" x14ac:dyDescent="0.3"/>
    <row r="400" ht="11.25" hidden="1" customHeight="1" x14ac:dyDescent="0.3"/>
    <row r="401" ht="11.25" hidden="1" customHeight="1" x14ac:dyDescent="0.3"/>
    <row r="402" ht="11.25" hidden="1" customHeight="1" x14ac:dyDescent="0.3"/>
    <row r="403" ht="11.25" hidden="1" customHeight="1" x14ac:dyDescent="0.3"/>
    <row r="404" ht="11.25" hidden="1" customHeight="1" x14ac:dyDescent="0.3"/>
    <row r="405" ht="11.25" hidden="1" customHeight="1" x14ac:dyDescent="0.3"/>
    <row r="406" ht="11.25" hidden="1" customHeight="1" x14ac:dyDescent="0.3"/>
    <row r="407" ht="11.25" hidden="1" customHeight="1" x14ac:dyDescent="0.3"/>
    <row r="408" ht="11.25" hidden="1" customHeight="1" x14ac:dyDescent="0.3"/>
    <row r="409" ht="11.25" hidden="1" customHeight="1" x14ac:dyDescent="0.3"/>
    <row r="410" ht="11.25" hidden="1" customHeight="1" x14ac:dyDescent="0.3"/>
    <row r="411" ht="11.25" hidden="1" customHeight="1" x14ac:dyDescent="0.3"/>
    <row r="412" ht="11.25" hidden="1" customHeight="1" x14ac:dyDescent="0.3"/>
    <row r="413" ht="11.25" hidden="1" customHeight="1" x14ac:dyDescent="0.3"/>
    <row r="414" ht="11.25" hidden="1" customHeight="1" x14ac:dyDescent="0.3"/>
    <row r="415" ht="11.25" hidden="1" customHeight="1" x14ac:dyDescent="0.3"/>
    <row r="416" ht="11.25" hidden="1" customHeight="1" x14ac:dyDescent="0.3"/>
    <row r="417" ht="11.25" hidden="1" customHeight="1" x14ac:dyDescent="0.3"/>
    <row r="418" ht="11.25" hidden="1" customHeight="1" x14ac:dyDescent="0.3"/>
    <row r="419" ht="11.25" hidden="1" customHeight="1" x14ac:dyDescent="0.3"/>
    <row r="420" ht="11.25" hidden="1" customHeight="1" x14ac:dyDescent="0.3"/>
    <row r="421" ht="11.25" hidden="1" customHeight="1" x14ac:dyDescent="0.3"/>
    <row r="422" ht="11.25" hidden="1" customHeight="1" x14ac:dyDescent="0.3"/>
    <row r="423" ht="11.25" hidden="1" customHeight="1" x14ac:dyDescent="0.3"/>
    <row r="424" ht="11.25" hidden="1" customHeight="1" x14ac:dyDescent="0.3"/>
    <row r="425" ht="11.25" hidden="1" customHeight="1" x14ac:dyDescent="0.3"/>
    <row r="426" ht="11.25" hidden="1" customHeight="1" x14ac:dyDescent="0.3"/>
    <row r="427" ht="11.25" hidden="1" customHeight="1" x14ac:dyDescent="0.3"/>
    <row r="428" ht="11.25" hidden="1" customHeight="1" x14ac:dyDescent="0.3"/>
    <row r="429" ht="11.25" hidden="1" customHeight="1" x14ac:dyDescent="0.3"/>
    <row r="430" ht="11.25" hidden="1" customHeight="1" x14ac:dyDescent="0.3"/>
    <row r="431" ht="11.25" hidden="1" customHeight="1" x14ac:dyDescent="0.3"/>
    <row r="432" ht="11.25" hidden="1" customHeight="1" x14ac:dyDescent="0.3"/>
    <row r="433" ht="11.25" hidden="1" customHeight="1" x14ac:dyDescent="0.3"/>
    <row r="434" ht="11.25" hidden="1" customHeight="1" x14ac:dyDescent="0.3"/>
    <row r="435" ht="11.25" hidden="1" customHeight="1" x14ac:dyDescent="0.3"/>
    <row r="436" ht="11.25" hidden="1" customHeight="1" x14ac:dyDescent="0.3"/>
    <row r="437" ht="11.25" hidden="1" customHeight="1" x14ac:dyDescent="0.3"/>
    <row r="438" ht="11.25" hidden="1" customHeight="1" x14ac:dyDescent="0.3"/>
    <row r="439" ht="11.25" hidden="1" customHeight="1" x14ac:dyDescent="0.3"/>
    <row r="440" ht="11.25" hidden="1" customHeight="1" x14ac:dyDescent="0.3"/>
    <row r="441" ht="11.25" hidden="1" customHeight="1" x14ac:dyDescent="0.3"/>
    <row r="442" ht="11.25" hidden="1" customHeight="1" x14ac:dyDescent="0.3"/>
    <row r="443" ht="11.25" hidden="1" customHeight="1" x14ac:dyDescent="0.3"/>
    <row r="444" ht="11.25" hidden="1" customHeight="1" x14ac:dyDescent="0.3"/>
    <row r="445" ht="11.25" hidden="1" customHeight="1" x14ac:dyDescent="0.3"/>
    <row r="446" ht="11.25" hidden="1" customHeight="1" x14ac:dyDescent="0.3"/>
    <row r="447" ht="11.25" hidden="1" customHeight="1" x14ac:dyDescent="0.3"/>
    <row r="448" ht="12.75" hidden="1" customHeight="1" x14ac:dyDescent="0.3"/>
    <row r="449" ht="11.25" hidden="1" customHeight="1" x14ac:dyDescent="0.3"/>
    <row r="450" ht="12.75" hidden="1" customHeight="1" x14ac:dyDescent="0.3"/>
    <row r="451" ht="12.75" hidden="1" customHeight="1" x14ac:dyDescent="0.3"/>
    <row r="452" ht="15" hidden="1" customHeight="1" x14ac:dyDescent="0.3"/>
    <row r="453" ht="11.25" hidden="1" customHeight="1" x14ac:dyDescent="0.3"/>
    <row r="454" ht="11.25" hidden="1" customHeight="1" x14ac:dyDescent="0.3"/>
    <row r="455" ht="11.25" hidden="1" customHeight="1" x14ac:dyDescent="0.3"/>
    <row r="456" ht="11.25" hidden="1" customHeight="1" x14ac:dyDescent="0.3"/>
    <row r="457" ht="11.25" hidden="1" customHeight="1" x14ac:dyDescent="0.3"/>
    <row r="458" ht="11.25" hidden="1" customHeight="1" x14ac:dyDescent="0.3"/>
    <row r="459" ht="11.25" hidden="1" customHeight="1" x14ac:dyDescent="0.3"/>
    <row r="460" ht="11.25" hidden="1" customHeight="1" x14ac:dyDescent="0.3"/>
    <row r="461" ht="11.25" hidden="1" customHeight="1" x14ac:dyDescent="0.3"/>
    <row r="462" ht="11.25" hidden="1" customHeight="1" x14ac:dyDescent="0.3"/>
    <row r="463" ht="11.25" hidden="1" customHeight="1" x14ac:dyDescent="0.3"/>
    <row r="464" ht="11.25" hidden="1" customHeight="1" x14ac:dyDescent="0.3"/>
    <row r="465" ht="11.25" hidden="1" customHeight="1" x14ac:dyDescent="0.3"/>
    <row r="466" ht="11.25" hidden="1" customHeight="1" x14ac:dyDescent="0.3"/>
    <row r="467" ht="11.25" hidden="1" customHeight="1" x14ac:dyDescent="0.3"/>
    <row r="468" ht="11.25" hidden="1" customHeight="1" x14ac:dyDescent="0.3"/>
    <row r="469" ht="11.25" hidden="1" customHeight="1" x14ac:dyDescent="0.3"/>
    <row r="470" ht="11.25" hidden="1" customHeight="1" x14ac:dyDescent="0.3"/>
    <row r="471" ht="11.25" hidden="1" customHeight="1" x14ac:dyDescent="0.3"/>
    <row r="472" ht="11.25" hidden="1" customHeight="1" x14ac:dyDescent="0.3"/>
    <row r="473" ht="11.25" hidden="1" customHeight="1" x14ac:dyDescent="0.3"/>
    <row r="474" ht="11.25" hidden="1" customHeight="1" x14ac:dyDescent="0.3"/>
    <row r="475" ht="11.25" hidden="1" customHeight="1" x14ac:dyDescent="0.3"/>
    <row r="476" ht="11.25" hidden="1" customHeight="1" x14ac:dyDescent="0.3"/>
    <row r="477" ht="11.25" hidden="1" customHeight="1" x14ac:dyDescent="0.3"/>
    <row r="478" ht="11.25" hidden="1" customHeight="1" x14ac:dyDescent="0.3"/>
    <row r="479" ht="11.25" hidden="1" customHeight="1" x14ac:dyDescent="0.3"/>
    <row r="480" ht="11.25" hidden="1" customHeight="1" x14ac:dyDescent="0.3"/>
    <row r="481" ht="11.25" hidden="1" customHeight="1" x14ac:dyDescent="0.3"/>
    <row r="482" ht="11.25" hidden="1" customHeight="1" x14ac:dyDescent="0.3"/>
    <row r="483" ht="11.25" hidden="1" customHeight="1" x14ac:dyDescent="0.3"/>
    <row r="484" ht="11.25" hidden="1" customHeight="1" x14ac:dyDescent="0.3"/>
    <row r="485" ht="11.25" hidden="1" customHeight="1" x14ac:dyDescent="0.3"/>
    <row r="486" ht="11.25" hidden="1" customHeight="1" x14ac:dyDescent="0.3"/>
    <row r="487" ht="11.25" hidden="1" customHeight="1" x14ac:dyDescent="0.3"/>
    <row r="488" ht="11.25" hidden="1" customHeight="1" x14ac:dyDescent="0.3"/>
    <row r="489" ht="11.25" hidden="1" customHeight="1" x14ac:dyDescent="0.3"/>
    <row r="490" ht="11.25" hidden="1" customHeight="1" x14ac:dyDescent="0.3"/>
    <row r="491" ht="11.25" hidden="1" customHeight="1" x14ac:dyDescent="0.3"/>
    <row r="492" ht="11.25" hidden="1" customHeight="1" x14ac:dyDescent="0.3"/>
    <row r="493" ht="11.25" hidden="1" customHeight="1" x14ac:dyDescent="0.3"/>
    <row r="494" ht="11.25" hidden="1" customHeight="1" x14ac:dyDescent="0.3"/>
    <row r="495" ht="11.25" hidden="1" customHeight="1" x14ac:dyDescent="0.3"/>
    <row r="496" ht="11.25" hidden="1" customHeight="1" x14ac:dyDescent="0.3"/>
    <row r="497" ht="11.25" hidden="1" customHeight="1" x14ac:dyDescent="0.3"/>
    <row r="498" ht="11.25" hidden="1" customHeight="1" x14ac:dyDescent="0.3"/>
    <row r="499" ht="11.25" hidden="1" customHeight="1" x14ac:dyDescent="0.3"/>
    <row r="500" ht="11.25" hidden="1" customHeight="1" x14ac:dyDescent="0.3"/>
    <row r="501" ht="11.25" hidden="1" customHeight="1" x14ac:dyDescent="0.3"/>
    <row r="502" ht="11.25" hidden="1" customHeight="1" x14ac:dyDescent="0.3"/>
    <row r="503" ht="11.25" hidden="1" customHeight="1" x14ac:dyDescent="0.3"/>
    <row r="504" ht="11.25" hidden="1" customHeight="1" x14ac:dyDescent="0.3"/>
    <row r="505" ht="11.25" hidden="1" customHeight="1" x14ac:dyDescent="0.3"/>
    <row r="506" ht="11.25" hidden="1" customHeight="1" x14ac:dyDescent="0.3"/>
    <row r="507" ht="11.25" hidden="1" customHeight="1" x14ac:dyDescent="0.3"/>
    <row r="508" ht="11.25" hidden="1" customHeight="1" x14ac:dyDescent="0.3"/>
    <row r="509" ht="11.25" hidden="1" customHeight="1" x14ac:dyDescent="0.3"/>
    <row r="510" ht="11.25" hidden="1" customHeight="1" x14ac:dyDescent="0.3"/>
    <row r="511" ht="11.25" hidden="1" customHeight="1" x14ac:dyDescent="0.3"/>
    <row r="512" ht="11.25" hidden="1" customHeight="1" x14ac:dyDescent="0.3"/>
    <row r="513" ht="11.25" hidden="1" customHeight="1" x14ac:dyDescent="0.3"/>
    <row r="514" ht="11.25" hidden="1" customHeight="1" x14ac:dyDescent="0.3"/>
    <row r="515" ht="11.25" hidden="1" customHeight="1" x14ac:dyDescent="0.3"/>
    <row r="516" ht="11.25" hidden="1" customHeight="1" x14ac:dyDescent="0.3"/>
    <row r="517" ht="11.25" hidden="1" customHeight="1" x14ac:dyDescent="0.3"/>
    <row r="518" ht="11.25" hidden="1" customHeight="1" x14ac:dyDescent="0.3"/>
    <row r="519" ht="11.25" hidden="1" customHeight="1" x14ac:dyDescent="0.3"/>
    <row r="520" ht="11.25" hidden="1" customHeight="1" x14ac:dyDescent="0.3"/>
    <row r="521" ht="11.25" hidden="1" customHeight="1" x14ac:dyDescent="0.3"/>
    <row r="522" ht="11.25" hidden="1" customHeight="1" x14ac:dyDescent="0.3"/>
    <row r="523" ht="11.25" hidden="1" customHeight="1" x14ac:dyDescent="0.3"/>
    <row r="524" ht="11.25" hidden="1" customHeight="1" x14ac:dyDescent="0.3"/>
    <row r="525" ht="11.25" hidden="1" customHeight="1" x14ac:dyDescent="0.3"/>
    <row r="526" ht="11.25" hidden="1" customHeight="1" x14ac:dyDescent="0.3"/>
    <row r="527" ht="11.25" hidden="1" customHeight="1" x14ac:dyDescent="0.3"/>
    <row r="528" ht="11.25" hidden="1" customHeight="1" x14ac:dyDescent="0.3"/>
    <row r="529" ht="11.25" hidden="1" customHeight="1" x14ac:dyDescent="0.3"/>
    <row r="530" ht="11.25" hidden="1" customHeight="1" x14ac:dyDescent="0.3"/>
    <row r="531" ht="11.25" hidden="1" customHeight="1" x14ac:dyDescent="0.3"/>
    <row r="532" ht="11.25" hidden="1" customHeight="1" x14ac:dyDescent="0.3"/>
    <row r="533" ht="11.25" hidden="1" customHeight="1" x14ac:dyDescent="0.3"/>
    <row r="534" ht="11.25" hidden="1" customHeight="1" x14ac:dyDescent="0.3"/>
    <row r="535" ht="11.25" hidden="1" customHeight="1" x14ac:dyDescent="0.3"/>
    <row r="536" ht="11.25" hidden="1" customHeight="1" x14ac:dyDescent="0.3"/>
    <row r="537" ht="11.25" hidden="1" customHeight="1" x14ac:dyDescent="0.3"/>
    <row r="538" ht="11.25" hidden="1" customHeight="1" x14ac:dyDescent="0.3"/>
    <row r="539" ht="11.25" hidden="1" customHeight="1" x14ac:dyDescent="0.3"/>
    <row r="540" ht="11.25" hidden="1" customHeight="1" x14ac:dyDescent="0.3"/>
    <row r="541" ht="11.25" hidden="1" customHeight="1" x14ac:dyDescent="0.3"/>
    <row r="542" ht="11.25" hidden="1" customHeight="1" x14ac:dyDescent="0.3"/>
    <row r="543" ht="11.25" hidden="1" customHeight="1" x14ac:dyDescent="0.3"/>
    <row r="544" ht="11.25" hidden="1" customHeight="1" x14ac:dyDescent="0.3"/>
    <row r="545" ht="11.25" hidden="1" customHeight="1" x14ac:dyDescent="0.3"/>
    <row r="546" ht="11.25" hidden="1" customHeight="1" x14ac:dyDescent="0.3"/>
    <row r="547" ht="11.25" hidden="1" customHeight="1" x14ac:dyDescent="0.3"/>
    <row r="548" ht="11.25" hidden="1" customHeight="1" x14ac:dyDescent="0.3"/>
    <row r="549" ht="11.25" hidden="1" customHeight="1" x14ac:dyDescent="0.3"/>
    <row r="550" ht="11.25" hidden="1" customHeight="1" x14ac:dyDescent="0.3"/>
    <row r="551" ht="11.25" hidden="1" customHeight="1" x14ac:dyDescent="0.3"/>
    <row r="552" ht="11.25" hidden="1" customHeight="1" x14ac:dyDescent="0.3"/>
    <row r="553" ht="11.25" hidden="1" customHeight="1" x14ac:dyDescent="0.3"/>
    <row r="554" ht="12.75" hidden="1" customHeight="1" x14ac:dyDescent="0.3"/>
    <row r="555" ht="15" hidden="1" customHeight="1" x14ac:dyDescent="0.3"/>
    <row r="556" ht="11.25" hidden="1" customHeight="1" x14ac:dyDescent="0.3"/>
    <row r="557" ht="11.25" hidden="1" customHeight="1" x14ac:dyDescent="0.3"/>
    <row r="558" ht="11.25" hidden="1" customHeight="1" x14ac:dyDescent="0.3"/>
    <row r="559" ht="11.25" hidden="1" customHeight="1" x14ac:dyDescent="0.3"/>
    <row r="560" ht="11.25" hidden="1" customHeight="1" x14ac:dyDescent="0.3"/>
    <row r="561" ht="11.25" hidden="1" customHeight="1" x14ac:dyDescent="0.3"/>
    <row r="562" ht="11.25" hidden="1" customHeight="1" x14ac:dyDescent="0.3"/>
    <row r="563" ht="11.25" hidden="1" customHeight="1" x14ac:dyDescent="0.3"/>
    <row r="564" ht="11.25" hidden="1" customHeight="1" x14ac:dyDescent="0.3"/>
    <row r="565" ht="11.25" hidden="1" customHeight="1" x14ac:dyDescent="0.3"/>
    <row r="566" ht="11.25" hidden="1" customHeight="1" x14ac:dyDescent="0.3"/>
    <row r="567" ht="11.25" hidden="1" customHeight="1" x14ac:dyDescent="0.3"/>
    <row r="568" ht="11.25" hidden="1" customHeight="1" x14ac:dyDescent="0.3"/>
    <row r="569" ht="11.25" hidden="1" customHeight="1" x14ac:dyDescent="0.3"/>
    <row r="570" ht="11.25" hidden="1" customHeight="1" x14ac:dyDescent="0.3"/>
    <row r="571" ht="11.25" hidden="1" customHeight="1" x14ac:dyDescent="0.3"/>
    <row r="572" ht="11.25" hidden="1" customHeight="1" x14ac:dyDescent="0.3"/>
    <row r="573" ht="11.25" hidden="1" customHeight="1" x14ac:dyDescent="0.3"/>
    <row r="574" ht="11.25" hidden="1" customHeight="1" x14ac:dyDescent="0.3"/>
    <row r="575" ht="11.25" hidden="1" customHeight="1" x14ac:dyDescent="0.3"/>
    <row r="576" ht="11.25" hidden="1" customHeight="1" x14ac:dyDescent="0.3"/>
    <row r="577" ht="11.25" hidden="1" customHeight="1" x14ac:dyDescent="0.3"/>
    <row r="578" ht="11.25" hidden="1" customHeight="1" x14ac:dyDescent="0.3"/>
    <row r="579" ht="11.25" hidden="1" customHeight="1" x14ac:dyDescent="0.3"/>
    <row r="580" ht="11.25" hidden="1" customHeight="1" x14ac:dyDescent="0.3"/>
    <row r="581" ht="11.25" hidden="1" customHeight="1" x14ac:dyDescent="0.3"/>
    <row r="582" ht="11.25" hidden="1" customHeight="1" x14ac:dyDescent="0.3"/>
    <row r="583" ht="11.25" hidden="1" customHeight="1" x14ac:dyDescent="0.3"/>
    <row r="584" ht="11.25" hidden="1" customHeight="1" x14ac:dyDescent="0.3"/>
    <row r="585" ht="11.25" hidden="1" customHeight="1" x14ac:dyDescent="0.3"/>
    <row r="586" ht="11.25" hidden="1" customHeight="1" x14ac:dyDescent="0.3"/>
    <row r="587" ht="11.25" hidden="1" customHeight="1" x14ac:dyDescent="0.3"/>
    <row r="588" ht="11.25" hidden="1" customHeight="1" x14ac:dyDescent="0.3"/>
    <row r="589" ht="11.25" hidden="1" customHeight="1" x14ac:dyDescent="0.3"/>
    <row r="590" ht="11.25" hidden="1" customHeight="1" x14ac:dyDescent="0.3"/>
    <row r="591" ht="11.25" hidden="1" customHeight="1" x14ac:dyDescent="0.3"/>
    <row r="592" ht="11.25" hidden="1" customHeight="1" x14ac:dyDescent="0.3"/>
    <row r="593" ht="11.25" hidden="1" customHeight="1" x14ac:dyDescent="0.3"/>
    <row r="594" ht="11.25" hidden="1" customHeight="1" x14ac:dyDescent="0.3"/>
    <row r="595" ht="11.25" hidden="1" customHeight="1" x14ac:dyDescent="0.3"/>
    <row r="596" ht="11.25" hidden="1" customHeight="1" x14ac:dyDescent="0.3"/>
    <row r="597" ht="11.25" hidden="1" customHeight="1" x14ac:dyDescent="0.3"/>
    <row r="598" ht="11.25" hidden="1" customHeight="1" x14ac:dyDescent="0.3"/>
    <row r="599" ht="11.25" hidden="1" customHeight="1" x14ac:dyDescent="0.3"/>
    <row r="600" ht="11.25" hidden="1" customHeight="1" x14ac:dyDescent="0.3"/>
    <row r="601" ht="11.25" hidden="1" customHeight="1" x14ac:dyDescent="0.3"/>
    <row r="602" ht="11.25" hidden="1" customHeight="1" x14ac:dyDescent="0.3"/>
    <row r="603" ht="11.25" hidden="1" customHeight="1" x14ac:dyDescent="0.3"/>
    <row r="604" ht="11.25" hidden="1" customHeight="1" x14ac:dyDescent="0.3"/>
    <row r="605" ht="11.25" hidden="1" customHeight="1" x14ac:dyDescent="0.3"/>
    <row r="606" ht="11.25" hidden="1" customHeight="1" x14ac:dyDescent="0.3"/>
    <row r="607" ht="11.25" hidden="1" customHeight="1" x14ac:dyDescent="0.3"/>
    <row r="608" ht="11.25" hidden="1" customHeight="1" x14ac:dyDescent="0.3"/>
    <row r="609" ht="11.25" hidden="1" customHeight="1" x14ac:dyDescent="0.3"/>
    <row r="610" ht="11.25" hidden="1" customHeight="1" x14ac:dyDescent="0.3"/>
    <row r="611" ht="11.25" hidden="1" customHeight="1" x14ac:dyDescent="0.3"/>
    <row r="612" ht="11.25" hidden="1" customHeight="1" x14ac:dyDescent="0.3"/>
    <row r="613" ht="11.25" hidden="1" customHeight="1" x14ac:dyDescent="0.3"/>
    <row r="614" ht="11.25" hidden="1" customHeight="1" x14ac:dyDescent="0.3"/>
    <row r="615" ht="11.25" hidden="1" customHeight="1" x14ac:dyDescent="0.3"/>
    <row r="616" ht="11.25" hidden="1" customHeight="1" x14ac:dyDescent="0.3"/>
    <row r="617" ht="11.25" hidden="1" customHeight="1" x14ac:dyDescent="0.3"/>
    <row r="618" ht="11.25" hidden="1" customHeight="1" x14ac:dyDescent="0.3"/>
    <row r="619" ht="11.25" hidden="1" customHeight="1" x14ac:dyDescent="0.3"/>
    <row r="620" ht="11.25" hidden="1" customHeight="1" x14ac:dyDescent="0.3"/>
    <row r="621" ht="11.25" hidden="1" customHeight="1" x14ac:dyDescent="0.3"/>
    <row r="622" ht="11.25" hidden="1" customHeight="1" x14ac:dyDescent="0.3"/>
    <row r="623" ht="11.25" hidden="1" customHeight="1" x14ac:dyDescent="0.3"/>
    <row r="624" ht="11.25" hidden="1" customHeight="1" x14ac:dyDescent="0.3"/>
    <row r="625" ht="11.25" hidden="1" customHeight="1" x14ac:dyDescent="0.3"/>
    <row r="626" ht="11.25" hidden="1" customHeight="1" x14ac:dyDescent="0.3"/>
    <row r="627" ht="11.25" hidden="1" customHeight="1" x14ac:dyDescent="0.3"/>
    <row r="628" ht="11.25" hidden="1" customHeight="1" x14ac:dyDescent="0.3"/>
    <row r="629" ht="11.25" hidden="1" customHeight="1" x14ac:dyDescent="0.3"/>
    <row r="630" ht="11.25" hidden="1" customHeight="1" x14ac:dyDescent="0.3"/>
    <row r="631" ht="11.25" hidden="1" customHeight="1" x14ac:dyDescent="0.3"/>
    <row r="632" ht="11.25" hidden="1" customHeight="1" x14ac:dyDescent="0.3"/>
    <row r="633" ht="11.25" hidden="1" customHeight="1" x14ac:dyDescent="0.3"/>
    <row r="634" ht="11.25" hidden="1" customHeight="1" x14ac:dyDescent="0.3"/>
    <row r="635" ht="11.25" hidden="1" customHeight="1" x14ac:dyDescent="0.3"/>
    <row r="636" ht="11.25" hidden="1" customHeight="1" x14ac:dyDescent="0.3"/>
    <row r="637" ht="11.25" hidden="1" customHeight="1" x14ac:dyDescent="0.3"/>
    <row r="638" ht="11.25" hidden="1" customHeight="1" x14ac:dyDescent="0.3"/>
    <row r="639" ht="11.25" hidden="1" customHeight="1" x14ac:dyDescent="0.3"/>
    <row r="640" ht="11.25" hidden="1" customHeight="1" x14ac:dyDescent="0.3"/>
    <row r="641" ht="11.25" hidden="1" customHeight="1" x14ac:dyDescent="0.3"/>
    <row r="642" ht="11.25" hidden="1" customHeight="1" x14ac:dyDescent="0.3"/>
    <row r="643" ht="11.25" hidden="1" customHeight="1" x14ac:dyDescent="0.3"/>
    <row r="644" ht="11.25" hidden="1" customHeight="1" x14ac:dyDescent="0.3"/>
    <row r="645" ht="11.25" hidden="1" customHeight="1" x14ac:dyDescent="0.3"/>
    <row r="646" ht="11.25" hidden="1" customHeight="1" x14ac:dyDescent="0.3"/>
    <row r="647" ht="11.25" hidden="1" customHeight="1" x14ac:dyDescent="0.3"/>
    <row r="648" ht="11.25" hidden="1" customHeight="1" x14ac:dyDescent="0.3"/>
    <row r="649" ht="11.25" hidden="1" customHeight="1" x14ac:dyDescent="0.3"/>
    <row r="650" ht="11.25" hidden="1" customHeight="1" x14ac:dyDescent="0.3"/>
    <row r="653" ht="11.25" hidden="1" customHeight="1" x14ac:dyDescent="0.3"/>
    <row r="654" ht="11.25" hidden="1" customHeight="1" x14ac:dyDescent="0.3"/>
    <row r="655" ht="11.25" hidden="1" customHeight="1" x14ac:dyDescent="0.3"/>
    <row r="656" ht="11.25" hidden="1" customHeight="1" x14ac:dyDescent="0.3"/>
    <row r="657" ht="12.75" hidden="1" customHeight="1" x14ac:dyDescent="0.3"/>
    <row r="658" ht="15" hidden="1" customHeight="1" x14ac:dyDescent="0.3"/>
    <row r="659" ht="11.25" hidden="1" customHeight="1" x14ac:dyDescent="0.3"/>
    <row r="660" ht="11.25" hidden="1" customHeight="1" x14ac:dyDescent="0.3"/>
    <row r="661" ht="11.25" hidden="1" customHeight="1" x14ac:dyDescent="0.3"/>
    <row r="662" ht="11.25" hidden="1" customHeight="1" x14ac:dyDescent="0.3"/>
    <row r="663" ht="11.25" hidden="1" customHeight="1" x14ac:dyDescent="0.3"/>
    <row r="664" ht="11.25" hidden="1" customHeight="1" x14ac:dyDescent="0.3"/>
    <row r="665" ht="11.25" hidden="1" customHeight="1" x14ac:dyDescent="0.3"/>
    <row r="666" ht="11.25" hidden="1" customHeight="1" x14ac:dyDescent="0.3"/>
    <row r="667" ht="11.25" hidden="1" customHeight="1" x14ac:dyDescent="0.3"/>
    <row r="668" ht="11.25" hidden="1" customHeight="1" x14ac:dyDescent="0.3"/>
    <row r="669" ht="11.25" hidden="1" customHeight="1" x14ac:dyDescent="0.3"/>
    <row r="670" ht="11.25" hidden="1" customHeight="1" x14ac:dyDescent="0.3"/>
    <row r="671" ht="11.25" hidden="1" customHeight="1" x14ac:dyDescent="0.3"/>
    <row r="672" ht="11.25" hidden="1" customHeight="1" x14ac:dyDescent="0.3"/>
    <row r="673" ht="11.25" hidden="1" customHeight="1" x14ac:dyDescent="0.3"/>
    <row r="674" ht="11.25" hidden="1" customHeight="1" x14ac:dyDescent="0.3"/>
    <row r="675" ht="11.25" hidden="1" customHeight="1" x14ac:dyDescent="0.3"/>
    <row r="676" ht="11.25" hidden="1" customHeight="1" x14ac:dyDescent="0.3"/>
    <row r="677" ht="11.25" hidden="1" customHeight="1" x14ac:dyDescent="0.3"/>
    <row r="678" ht="11.25" hidden="1" customHeight="1" x14ac:dyDescent="0.3"/>
    <row r="679" ht="11.25" hidden="1" customHeight="1" x14ac:dyDescent="0.3"/>
    <row r="680" ht="11.25" hidden="1" customHeight="1" x14ac:dyDescent="0.3"/>
    <row r="681" ht="11.25" hidden="1" customHeight="1" x14ac:dyDescent="0.3"/>
    <row r="682" ht="11.25" hidden="1" customHeight="1" x14ac:dyDescent="0.3"/>
    <row r="683" ht="11.25" hidden="1" customHeight="1" x14ac:dyDescent="0.3"/>
    <row r="684" ht="11.25" hidden="1" customHeight="1" x14ac:dyDescent="0.3"/>
    <row r="685" ht="11.25" hidden="1" customHeight="1" x14ac:dyDescent="0.3"/>
    <row r="686" ht="11.25" hidden="1" customHeight="1" x14ac:dyDescent="0.3"/>
    <row r="687" ht="11.25" hidden="1" customHeight="1" x14ac:dyDescent="0.3"/>
    <row r="688" ht="11.25" hidden="1" customHeight="1" x14ac:dyDescent="0.3"/>
    <row r="689" ht="11.25" hidden="1" customHeight="1" x14ac:dyDescent="0.3"/>
    <row r="690" ht="11.25" hidden="1" customHeight="1" x14ac:dyDescent="0.3"/>
    <row r="691" ht="11.25" hidden="1" customHeight="1" x14ac:dyDescent="0.3"/>
    <row r="692" ht="11.25" hidden="1" customHeight="1" x14ac:dyDescent="0.3"/>
    <row r="693" ht="11.25" hidden="1" customHeight="1" x14ac:dyDescent="0.3"/>
    <row r="694" ht="11.25" hidden="1" customHeight="1" x14ac:dyDescent="0.3"/>
    <row r="695" ht="11.25" hidden="1" customHeight="1" x14ac:dyDescent="0.3"/>
    <row r="696" ht="11.25" hidden="1" customHeight="1" x14ac:dyDescent="0.3"/>
    <row r="697" ht="11.25" hidden="1" customHeight="1" x14ac:dyDescent="0.3"/>
    <row r="698" ht="11.25" hidden="1" customHeight="1" x14ac:dyDescent="0.3"/>
    <row r="699" ht="11.25" hidden="1" customHeight="1" x14ac:dyDescent="0.3"/>
    <row r="700" ht="11.25" hidden="1" customHeight="1" x14ac:dyDescent="0.3"/>
    <row r="701" ht="11.25" hidden="1" customHeight="1" x14ac:dyDescent="0.3"/>
    <row r="702" ht="11.25" hidden="1" customHeight="1" x14ac:dyDescent="0.3"/>
    <row r="703" ht="11.25" hidden="1" customHeight="1" x14ac:dyDescent="0.3"/>
    <row r="704" ht="11.25" hidden="1" customHeight="1" x14ac:dyDescent="0.3"/>
    <row r="705" ht="11.25" hidden="1" customHeight="1" x14ac:dyDescent="0.3"/>
    <row r="706" ht="11.25" hidden="1" customHeight="1" x14ac:dyDescent="0.3"/>
    <row r="707" ht="11.25" hidden="1" customHeight="1" x14ac:dyDescent="0.3"/>
    <row r="708" ht="11.25" hidden="1" customHeight="1" x14ac:dyDescent="0.3"/>
    <row r="709" ht="11.25" hidden="1" customHeight="1" x14ac:dyDescent="0.3"/>
    <row r="710" ht="11.25" hidden="1" customHeight="1" x14ac:dyDescent="0.3"/>
    <row r="711" ht="11.25" hidden="1" customHeight="1" x14ac:dyDescent="0.3"/>
    <row r="712" ht="11.25" hidden="1" customHeight="1" x14ac:dyDescent="0.3"/>
    <row r="713" ht="11.25" hidden="1" customHeight="1" x14ac:dyDescent="0.3"/>
    <row r="714" ht="11.25" hidden="1" customHeight="1" x14ac:dyDescent="0.3"/>
    <row r="715" ht="11.25" hidden="1" customHeight="1" x14ac:dyDescent="0.3"/>
    <row r="716" ht="11.25" hidden="1" customHeight="1" x14ac:dyDescent="0.3"/>
    <row r="717" ht="11.25" hidden="1" customHeight="1" x14ac:dyDescent="0.3"/>
    <row r="718" ht="11.25" hidden="1" customHeight="1" x14ac:dyDescent="0.3"/>
    <row r="719" ht="11.25" hidden="1" customHeight="1" x14ac:dyDescent="0.3"/>
    <row r="720" ht="11.25" hidden="1" customHeight="1" x14ac:dyDescent="0.3"/>
    <row r="721" ht="11.25" hidden="1" customHeight="1" x14ac:dyDescent="0.3"/>
    <row r="722" ht="11.25" hidden="1" customHeight="1" x14ac:dyDescent="0.3"/>
    <row r="723" ht="11.25" hidden="1" customHeight="1" x14ac:dyDescent="0.3"/>
    <row r="724" ht="11.25" hidden="1" customHeight="1" x14ac:dyDescent="0.3"/>
    <row r="725" ht="11.25" hidden="1" customHeight="1" x14ac:dyDescent="0.3"/>
    <row r="726" ht="11.25" hidden="1" customHeight="1" x14ac:dyDescent="0.3"/>
    <row r="727" ht="11.25" hidden="1" customHeight="1" x14ac:dyDescent="0.3"/>
    <row r="728" ht="11.25" hidden="1" customHeight="1" x14ac:dyDescent="0.3"/>
    <row r="729" ht="11.25" hidden="1" customHeight="1" x14ac:dyDescent="0.3"/>
    <row r="730" ht="11.25" hidden="1" customHeight="1" x14ac:dyDescent="0.3"/>
    <row r="731" ht="11.25" hidden="1" customHeight="1" x14ac:dyDescent="0.3"/>
    <row r="732" ht="11.25" hidden="1" customHeight="1" x14ac:dyDescent="0.3"/>
    <row r="733" ht="11.25" hidden="1" customHeight="1" x14ac:dyDescent="0.3"/>
    <row r="734" ht="11.25" hidden="1" customHeight="1" x14ac:dyDescent="0.3"/>
    <row r="735" ht="11.25" hidden="1" customHeight="1" x14ac:dyDescent="0.3"/>
    <row r="736" ht="11.25" hidden="1" customHeight="1" x14ac:dyDescent="0.3"/>
    <row r="737" ht="11.25" hidden="1" customHeight="1" x14ac:dyDescent="0.3"/>
    <row r="738" ht="11.25" hidden="1" customHeight="1" x14ac:dyDescent="0.3"/>
    <row r="739" ht="11.25" hidden="1" customHeight="1" x14ac:dyDescent="0.3"/>
    <row r="740" ht="11.25" hidden="1" customHeight="1" x14ac:dyDescent="0.3"/>
    <row r="741" ht="11.25" hidden="1" customHeight="1" x14ac:dyDescent="0.3"/>
    <row r="742" ht="11.25" hidden="1" customHeight="1" x14ac:dyDescent="0.3"/>
    <row r="743" ht="11.25" hidden="1" customHeight="1" x14ac:dyDescent="0.3"/>
    <row r="744" ht="11.25" hidden="1" customHeight="1" x14ac:dyDescent="0.3"/>
    <row r="745" ht="11.25" hidden="1" customHeight="1" x14ac:dyDescent="0.3"/>
    <row r="746" ht="11.25" hidden="1" customHeight="1" x14ac:dyDescent="0.3"/>
    <row r="747" ht="11.25" hidden="1" customHeight="1" x14ac:dyDescent="0.3"/>
    <row r="748" ht="11.25" hidden="1" customHeight="1" x14ac:dyDescent="0.3"/>
    <row r="749" ht="11.25" hidden="1" customHeight="1" x14ac:dyDescent="0.3"/>
    <row r="750" ht="11.25" hidden="1" customHeight="1" x14ac:dyDescent="0.3"/>
    <row r="751" ht="11.25" hidden="1" customHeight="1" x14ac:dyDescent="0.3"/>
    <row r="752" ht="11.25" hidden="1" customHeight="1" x14ac:dyDescent="0.3"/>
    <row r="753" ht="11.25" hidden="1" customHeight="1" x14ac:dyDescent="0.3"/>
    <row r="754" ht="11.25" hidden="1" customHeight="1" x14ac:dyDescent="0.3"/>
    <row r="755" ht="11.25" hidden="1" customHeight="1" x14ac:dyDescent="0.3"/>
    <row r="756" ht="11.25" hidden="1" customHeight="1" x14ac:dyDescent="0.3"/>
    <row r="757" ht="11.25" hidden="1" customHeight="1" x14ac:dyDescent="0.3"/>
    <row r="758" ht="11.25" hidden="1" customHeight="1" x14ac:dyDescent="0.3"/>
    <row r="759" ht="12.75" hidden="1" customHeight="1" x14ac:dyDescent="0.3"/>
    <row r="760" ht="12.75" hidden="1" customHeight="1" x14ac:dyDescent="0.3"/>
    <row r="761" x14ac:dyDescent="0.3"/>
    <row r="762" x14ac:dyDescent="0.3"/>
  </sheetData>
  <sheetProtection algorithmName="SHA-512" hashValue="uUFciouymzG0yNzAgQ/VgcBxC261B3zoyrBwBygDFpDqdI2o5g5LydZBBtVoknF3ByDZ+w3f/4NhTI0cdLgFnw==" saltValue="evlAqIOVBnuvyp5oM2AFDA==" spinCount="100000" sheet="1" formatCells="0" deleteColumns="0"/>
  <dataConsolidate/>
  <mergeCells count="15">
    <mergeCell ref="A94:H94"/>
    <mergeCell ref="A123:H123"/>
    <mergeCell ref="A45:H45"/>
    <mergeCell ref="A93:F93"/>
    <mergeCell ref="A14:F14"/>
    <mergeCell ref="A15:H15"/>
    <mergeCell ref="A114:H114"/>
    <mergeCell ref="I1:I3"/>
    <mergeCell ref="C2:D2"/>
    <mergeCell ref="A1:H1"/>
    <mergeCell ref="A74:H74"/>
    <mergeCell ref="A6:F6"/>
    <mergeCell ref="B3:H3"/>
    <mergeCell ref="B5:H5"/>
    <mergeCell ref="E2:H2"/>
  </mergeCells>
  <phoneticPr fontId="24" type="noConversion"/>
  <conditionalFormatting sqref="A18:A27">
    <cfRule type="expression" dxfId="7" priority="24">
      <formula>LEN(I18)&gt;0</formula>
    </cfRule>
  </conditionalFormatting>
  <conditionalFormatting sqref="B18:B27">
    <cfRule type="expression" dxfId="5" priority="6">
      <formula>F18=pers_int_listname</formula>
    </cfRule>
  </conditionalFormatting>
  <conditionalFormatting sqref="C2:D2">
    <cfRule type="expression" dxfId="4" priority="9">
      <formula>AND(Total_NWO_funding&gt;0,Main_applicant="")</formula>
    </cfRule>
  </conditionalFormatting>
  <conditionalFormatting sqref="D18:D27">
    <cfRule type="expression" dxfId="3" priority="23">
      <formula>D18&gt;Max_project_duration</formula>
    </cfRule>
  </conditionalFormatting>
  <conditionalFormatting sqref="H18:H27">
    <cfRule type="cellIs" dxfId="1" priority="20" operator="equal">
      <formula>0</formula>
    </cfRule>
  </conditionalFormatting>
  <conditionalFormatting sqref="I18:I27">
    <cfRule type="beginsWith" dxfId="0" priority="1" operator="beginsWith" text="PD">
      <formula>LEFT(I18,LEN("PD"))="PD"</formula>
    </cfRule>
  </conditionalFormatting>
  <dataValidations count="13">
    <dataValidation type="list" allowBlank="1" showInputMessage="1" showErrorMessage="1" sqref="F97:F111 F76:F90 F47:F71 F116:F120" xr:uid="{00000000-0002-0000-0100-000001000000}">
      <formula1>list_ac_other_combined</formula1>
    </dataValidation>
    <dataValidation type="list" allowBlank="1" showInputMessage="1" showErrorMessage="1" sqref="F144:F153 F126:F140" xr:uid="{00000000-0002-0000-0100-000002000000}">
      <formula1>list_kind_cash_cofunding</formula1>
    </dataValidation>
    <dataValidation type="date" allowBlank="1" showInputMessage="1" showErrorMessage="1" errorTitle="Invalid entry" error="Please provide a valid date (dd/mm/yy)" sqref="B2" xr:uid="{00000000-0002-0000-0100-00000A000000}">
      <formula1>43831</formula1>
      <formula2>73415</formula2>
    </dataValidation>
    <dataValidation type="decimal" allowBlank="1" showInputMessage="1" showErrorMessage="1" errorTitle="Invalid entry" error="Provide a numerical value." sqref="H76:H90 H97:H111 H144:H153 H47:H71 H116:H120 D126:E140" xr:uid="{00000000-0002-0000-0100-000014000000}">
      <formula1>0</formula1>
      <formula2>999999999</formula2>
    </dataValidation>
    <dataValidation type="decimal" allowBlank="1" showInputMessage="1" showErrorMessage="1" errorTitle="Invalid entry" error="Please provide a valid, decimal, number, max 1 FTE" sqref="C18 C20:C27" xr:uid="{00000000-0002-0000-0100-00000D000000}">
      <formula1>0</formula1>
      <formula2>1</formula2>
    </dataValidation>
    <dataValidation type="list" allowBlank="1" showInputMessage="1" showErrorMessage="1" sqref="A18:A27" xr:uid="{00000000-0002-0000-0100-000013000000}">
      <formula1>INDIRECT("salaries_academic[category]")</formula1>
    </dataValidation>
    <dataValidation type="list" allowBlank="1" showInputMessage="1" showErrorMessage="1" sqref="F18:F27" xr:uid="{00000000-0002-0000-0100-000003000000}">
      <formula1>list_academic_personnel</formula1>
    </dataValidation>
    <dataValidation errorStyle="warning" allowBlank="1" showInputMessage="1" showErrorMessage="1" sqref="A32:A41" xr:uid="{00000000-0002-0000-0100-000000000000}"/>
    <dataValidation type="whole" allowBlank="1" showInputMessage="1" showErrorMessage="1" errorTitle="Invalid entry" error="Please enter nr of benchfee (max 1 per position)" sqref="D32:D41" xr:uid="{00000000-0002-0000-0100-00000E000000}">
      <formula1>0</formula1>
      <formula2>1</formula2>
    </dataValidation>
    <dataValidation allowBlank="1" showInputMessage="1" showErrorMessage="1" errorTitle="Invalid entry" error="Please enter the requested number of positions for which a bench fee is requested (round number &gt;0)" sqref="E32:F41" xr:uid="{00000000-0002-0000-0100-00000F000000}"/>
    <dataValidation type="decimal" allowBlank="1" showErrorMessage="1" errorTitle="Invalid entry" error="Please provide a valid, decimal, number, max 1 FTE" sqref="C19" xr:uid="{EC272C62-3949-46EE-A2AC-95AE78E2C72C}">
      <formula1>0</formula1>
      <formula2>1</formula2>
    </dataValidation>
    <dataValidation type="list" allowBlank="1" showInputMessage="1" showErrorMessage="1" errorTitle="Invalid entry" error="Please select item from the list." sqref="B126:B140" xr:uid="{00000000-0002-0000-0100-000016000000}">
      <formula1>"Personnel,Materials,Personnel &amp; Materials"</formula1>
    </dataValidation>
    <dataValidation allowBlank="1" showInputMessage="1" showErrorMessage="1" errorTitle="Invalid entry" error="Select item from the list." sqref="C126:C140" xr:uid="{00000000-0002-0000-0100-000017000000}"/>
  </dataValidations>
  <printOptions headings="1"/>
  <pageMargins left="0.19685039370078741" right="0.19685039370078741" top="0.19685039370078741" bottom="0.19685039370078741" header="0.19685039370078741" footer="0.19685039370078741"/>
  <pageSetup paperSize="9" scale="50" fitToHeight="0" orientation="portrait" r:id="rId1"/>
  <ignoredErrors>
    <ignoredError sqref="H97:H111 H118:H120" calculatedColumn="1"/>
  </ignoredErrors>
  <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16921314-A9A2-40EE-884D-5824A1415A49}">
            <xm:f>COUNTIF($F$19:$F$28,parameters!$B$34)=0</xm:f>
            <x14:dxf>
              <font>
                <color theme="0"/>
              </font>
            </x14:dxf>
          </x14:cfRule>
          <xm:sqref>B17</xm:sqref>
        </x14:conditionalFormatting>
        <x14:conditionalFormatting xmlns:xm="http://schemas.microsoft.com/office/excel/2006/main">
          <x14:cfRule type="expression" priority="81" id="{D137BD43-E2FB-4023-9FCF-CF69E09D0726}">
            <xm:f>_xlfn.IFNA(FIND("costs",VLOOKUP(A18,parameters!$A$83:$B$97,2,FALSE),1),0)&gt;0</xm:f>
            <x14:dxf>
              <fill>
                <patternFill>
                  <bgColor rgb="FFCBDEDF"/>
                </patternFill>
              </fill>
            </x14:dxf>
          </x14:cfRule>
          <xm:sqref>E18:E27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3CF9B-47CB-4587-8E1E-8885C214FCDC}">
  <dimension ref="A1:AA4"/>
  <sheetViews>
    <sheetView workbookViewId="0">
      <selection activeCell="J3" sqref="J3"/>
    </sheetView>
  </sheetViews>
  <sheetFormatPr defaultRowHeight="14.4" x14ac:dyDescent="0.3"/>
  <sheetData>
    <row r="1" spans="1:27" ht="28.8" x14ac:dyDescent="0.55000000000000004">
      <c r="A1" s="331" t="s">
        <v>763</v>
      </c>
    </row>
    <row r="4" spans="1:27" x14ac:dyDescent="0.3">
      <c r="AA4" t="s">
        <v>762</v>
      </c>
    </row>
  </sheetData>
  <sheetProtection algorithmName="SHA-512" hashValue="aZbr90cqP58ZeOYTG9vvx3jNKlqIIX2O6nNwudvEu3oMkH6Xwzktqp5aXC0+v+ftO8hovyjCt17Zl0hatfcklQ==" saltValue="BUaAxy3uYOWCruYskPqRyQ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outlinePr summaryBelow="0"/>
  </sheetPr>
  <dimension ref="A2:DA544"/>
  <sheetViews>
    <sheetView topLeftCell="A42" zoomScale="76" zoomScaleNormal="100" workbookViewId="0">
      <selection activeCell="B18" sqref="B18"/>
    </sheetView>
  </sheetViews>
  <sheetFormatPr defaultColWidth="9.21875" defaultRowHeight="14.4" outlineLevelRow="1" x14ac:dyDescent="0.3"/>
  <cols>
    <col min="1" max="1" width="46.21875" style="20" customWidth="1"/>
    <col min="2" max="2" width="26" style="20" customWidth="1"/>
    <col min="3" max="3" width="30.21875" style="20" customWidth="1"/>
    <col min="4" max="4" width="12.44140625" style="20" customWidth="1"/>
    <col min="5" max="5" width="36.77734375" style="20" customWidth="1"/>
    <col min="6" max="6" width="16.44140625" style="20" customWidth="1"/>
    <col min="7" max="7" width="19" style="20" customWidth="1"/>
    <col min="8" max="8" width="14.77734375" style="20" customWidth="1"/>
    <col min="9" max="9" width="12.44140625" style="20" customWidth="1"/>
    <col min="10" max="10" width="13.5546875" style="20" customWidth="1"/>
    <col min="11" max="11" width="13" style="20" customWidth="1"/>
    <col min="12" max="14" width="13.5546875" style="20" customWidth="1"/>
    <col min="15" max="15" width="13.21875" style="20" customWidth="1"/>
    <col min="16" max="16" width="13.5546875" style="20" customWidth="1"/>
    <col min="17" max="17" width="13.21875" style="20" customWidth="1"/>
    <col min="18" max="19" width="13.5546875" style="20" customWidth="1"/>
    <col min="20" max="20" width="14" style="20" customWidth="1"/>
    <col min="21" max="21" width="13.5546875" style="20" customWidth="1"/>
    <col min="22" max="24" width="14" style="20" customWidth="1"/>
    <col min="25" max="25" width="13.77734375" style="20" customWidth="1"/>
    <col min="26" max="26" width="14" style="20" customWidth="1"/>
    <col min="27" max="27" width="13.77734375" style="20" customWidth="1"/>
    <col min="28" max="30" width="14" style="20" customWidth="1"/>
    <col min="31" max="31" width="13.5546875" style="20" customWidth="1"/>
    <col min="32" max="34" width="14" style="20" customWidth="1"/>
    <col min="35" max="35" width="13.77734375" style="20" customWidth="1"/>
    <col min="36" max="36" width="14" style="20" customWidth="1"/>
    <col min="37" max="37" width="13.77734375" style="20" customWidth="1"/>
    <col min="38" max="40" width="14" style="20" customWidth="1"/>
    <col min="41" max="41" width="13.5546875" style="20" customWidth="1"/>
    <col min="42" max="44" width="14" style="20" customWidth="1"/>
    <col min="45" max="45" width="13.77734375" style="20" customWidth="1"/>
    <col min="46" max="46" width="14" style="20" customWidth="1"/>
    <col min="47" max="47" width="13.77734375" style="20" customWidth="1"/>
    <col min="48" max="49" width="14" style="20" customWidth="1"/>
    <col min="50" max="50" width="13.77734375" style="20" customWidth="1"/>
    <col min="51" max="51" width="13.21875" style="20" customWidth="1"/>
    <col min="52" max="54" width="13.77734375" style="20" customWidth="1"/>
    <col min="55" max="55" width="13.5546875" style="20" customWidth="1"/>
    <col min="56" max="56" width="13.77734375" style="20" customWidth="1"/>
    <col min="57" max="57" width="13.5546875" style="20" customWidth="1"/>
    <col min="58" max="59" width="13.77734375" style="20" customWidth="1"/>
    <col min="60" max="60" width="14" style="20" customWidth="1"/>
    <col min="61" max="61" width="13.5546875" style="20" customWidth="1"/>
    <col min="62" max="64" width="14" style="20" customWidth="1"/>
    <col min="65" max="65" width="13.77734375" style="20" customWidth="1"/>
    <col min="66" max="66" width="14" style="20" customWidth="1"/>
    <col min="67" max="67" width="13.77734375" style="20" customWidth="1"/>
    <col min="68" max="69" width="14" style="20" customWidth="1"/>
    <col min="70" max="70" width="13.77734375" style="20" customWidth="1"/>
    <col min="71" max="71" width="13.21875" style="20" customWidth="1"/>
    <col min="72" max="74" width="13.77734375" style="20" customWidth="1"/>
    <col min="75" max="75" width="13.5546875" style="20" customWidth="1"/>
    <col min="76" max="76" width="13.77734375" style="20" customWidth="1"/>
    <col min="77" max="77" width="13.5546875" style="20" customWidth="1"/>
    <col min="78" max="79" width="13.77734375" style="20" customWidth="1"/>
    <col min="80" max="80" width="14" style="20" customWidth="1"/>
    <col min="81" max="81" width="13.5546875" style="20" customWidth="1"/>
    <col min="82" max="84" width="14" style="20" customWidth="1"/>
    <col min="85" max="85" width="13.77734375" style="20" customWidth="1"/>
    <col min="86" max="86" width="14" style="20" customWidth="1"/>
    <col min="87" max="87" width="13.77734375" style="20" customWidth="1"/>
    <col min="88" max="90" width="14" style="20" customWidth="1"/>
    <col min="91" max="91" width="13.5546875" style="20" customWidth="1"/>
    <col min="92" max="94" width="14" style="20" customWidth="1"/>
    <col min="95" max="95" width="13.77734375" style="20" customWidth="1"/>
    <col min="96" max="96" width="14" style="20" customWidth="1"/>
    <col min="97" max="97" width="13.77734375" style="20" customWidth="1"/>
    <col min="98" max="16384" width="9.21875" style="20"/>
  </cols>
  <sheetData>
    <row r="2" spans="1:3" ht="18" x14ac:dyDescent="0.3">
      <c r="A2" s="58" t="s">
        <v>155</v>
      </c>
    </row>
    <row r="3" spans="1:3" x14ac:dyDescent="0.3">
      <c r="A3" s="20" t="s">
        <v>158</v>
      </c>
      <c r="B3" s="305">
        <v>46008.496527777781</v>
      </c>
    </row>
    <row r="4" spans="1:3" x14ac:dyDescent="0.3">
      <c r="A4" s="20" t="s">
        <v>550</v>
      </c>
      <c r="B4" s="36">
        <v>0</v>
      </c>
    </row>
    <row r="5" spans="1:3" x14ac:dyDescent="0.3">
      <c r="A5" s="20" t="s">
        <v>640</v>
      </c>
      <c r="B5" s="36" t="s">
        <v>572</v>
      </c>
    </row>
    <row r="6" spans="1:3" x14ac:dyDescent="0.3">
      <c r="A6" s="20" t="s">
        <v>641</v>
      </c>
      <c r="B6" s="36" t="s">
        <v>572</v>
      </c>
    </row>
    <row r="7" spans="1:3" x14ac:dyDescent="0.3">
      <c r="A7" s="20" t="s">
        <v>642</v>
      </c>
      <c r="B7" s="36" t="s">
        <v>572</v>
      </c>
    </row>
    <row r="8" spans="1:3" x14ac:dyDescent="0.3">
      <c r="A8" s="20" t="s">
        <v>148</v>
      </c>
      <c r="B8" s="36">
        <v>1500000</v>
      </c>
    </row>
    <row r="9" spans="1:3" x14ac:dyDescent="0.3">
      <c r="A9" s="20" t="s">
        <v>157</v>
      </c>
      <c r="B9" s="69">
        <v>60</v>
      </c>
    </row>
    <row r="10" spans="1:3" x14ac:dyDescent="0.3">
      <c r="A10" s="20" t="s">
        <v>584</v>
      </c>
      <c r="B10" s="69" t="s">
        <v>552</v>
      </c>
      <c r="C10" s="119" t="s">
        <v>718</v>
      </c>
    </row>
    <row r="11" spans="1:3" x14ac:dyDescent="0.3">
      <c r="A11" s="20" t="s">
        <v>608</v>
      </c>
      <c r="B11" s="69" t="s">
        <v>552</v>
      </c>
      <c r="C11" s="119" t="s">
        <v>719</v>
      </c>
    </row>
    <row r="12" spans="1:3" x14ac:dyDescent="0.3">
      <c r="A12" s="20" t="s">
        <v>628</v>
      </c>
      <c r="B12" s="69" t="s">
        <v>552</v>
      </c>
      <c r="C12" s="119" t="s">
        <v>720</v>
      </c>
    </row>
    <row r="13" spans="1:3" x14ac:dyDescent="0.3">
      <c r="B13" s="69"/>
    </row>
    <row r="14" spans="1:3" ht="18" x14ac:dyDescent="0.3">
      <c r="A14" s="58" t="s">
        <v>159</v>
      </c>
      <c r="B14" s="69"/>
    </row>
    <row r="15" spans="1:3" x14ac:dyDescent="0.3">
      <c r="A15" s="20" t="s">
        <v>712</v>
      </c>
      <c r="B15" s="75">
        <v>46204</v>
      </c>
    </row>
    <row r="16" spans="1:3" x14ac:dyDescent="0.3">
      <c r="A16" s="20" t="s">
        <v>160</v>
      </c>
      <c r="B16" s="75">
        <v>46204</v>
      </c>
    </row>
    <row r="17" spans="1:3" x14ac:dyDescent="0.3">
      <c r="A17" s="20" t="s">
        <v>590</v>
      </c>
      <c r="B17" s="76">
        <v>48</v>
      </c>
      <c r="C17" s="119" t="s">
        <v>585</v>
      </c>
    </row>
    <row r="18" spans="1:3" x14ac:dyDescent="0.3">
      <c r="A18" s="20" t="s">
        <v>637</v>
      </c>
      <c r="B18" s="76">
        <v>48</v>
      </c>
      <c r="C18" s="119" t="s">
        <v>585</v>
      </c>
    </row>
    <row r="19" spans="1:3" x14ac:dyDescent="0.3">
      <c r="A19" s="20" t="s">
        <v>591</v>
      </c>
      <c r="B19" s="76" t="s">
        <v>572</v>
      </c>
      <c r="C19" s="119" t="s">
        <v>585</v>
      </c>
    </row>
    <row r="20" spans="1:3" x14ac:dyDescent="0.3">
      <c r="A20" s="20" t="s">
        <v>593</v>
      </c>
      <c r="B20" s="76">
        <v>24</v>
      </c>
      <c r="C20" s="119" t="s">
        <v>585</v>
      </c>
    </row>
    <row r="21" spans="1:3" x14ac:dyDescent="0.3">
      <c r="A21" s="20" t="s">
        <v>653</v>
      </c>
      <c r="B21" s="76">
        <v>12</v>
      </c>
      <c r="C21" s="119" t="s">
        <v>585</v>
      </c>
    </row>
    <row r="22" spans="1:3" x14ac:dyDescent="0.3">
      <c r="A22" s="20" t="s">
        <v>654</v>
      </c>
      <c r="B22" s="254">
        <v>0.5</v>
      </c>
      <c r="C22" s="119" t="s">
        <v>585</v>
      </c>
    </row>
    <row r="23" spans="1:3" x14ac:dyDescent="0.3">
      <c r="A23" s="20" t="s">
        <v>592</v>
      </c>
      <c r="B23" s="165">
        <v>60</v>
      </c>
      <c r="C23" s="119" t="s">
        <v>585</v>
      </c>
    </row>
    <row r="24" spans="1:3" x14ac:dyDescent="0.3">
      <c r="A24" s="20" t="s">
        <v>703</v>
      </c>
      <c r="B24" s="69">
        <v>36</v>
      </c>
      <c r="C24" s="119" t="s">
        <v>585</v>
      </c>
    </row>
    <row r="25" spans="1:3" x14ac:dyDescent="0.3">
      <c r="A25" s="20" t="s">
        <v>704</v>
      </c>
      <c r="B25" s="69">
        <v>48</v>
      </c>
      <c r="C25" s="119" t="s">
        <v>585</v>
      </c>
    </row>
    <row r="26" spans="1:3" x14ac:dyDescent="0.3">
      <c r="A26" s="20" t="s">
        <v>586</v>
      </c>
      <c r="B26" s="77" t="s">
        <v>572</v>
      </c>
    </row>
    <row r="27" spans="1:3" x14ac:dyDescent="0.3">
      <c r="A27" s="20" t="s">
        <v>735</v>
      </c>
      <c r="B27" s="36" t="s">
        <v>572</v>
      </c>
    </row>
    <row r="28" spans="1:3" x14ac:dyDescent="0.3">
      <c r="A28" s="20" t="s">
        <v>709</v>
      </c>
      <c r="B28" s="77" t="s">
        <v>572</v>
      </c>
    </row>
    <row r="29" spans="1:3" x14ac:dyDescent="0.3">
      <c r="A29" s="20" t="s">
        <v>149</v>
      </c>
      <c r="B29" s="36">
        <v>5000</v>
      </c>
      <c r="C29" s="119" t="s">
        <v>611</v>
      </c>
    </row>
    <row r="30" spans="1:3" x14ac:dyDescent="0.3">
      <c r="A30" s="20" t="s">
        <v>161</v>
      </c>
      <c r="B30" s="76">
        <v>2026</v>
      </c>
    </row>
    <row r="31" spans="1:3" x14ac:dyDescent="0.3">
      <c r="A31" s="20" t="s">
        <v>174</v>
      </c>
      <c r="B31" s="76" t="s">
        <v>175</v>
      </c>
    </row>
    <row r="32" spans="1:3" x14ac:dyDescent="0.3">
      <c r="A32" s="20" t="s">
        <v>707</v>
      </c>
      <c r="B32" s="36" t="s">
        <v>572</v>
      </c>
    </row>
    <row r="33" spans="1:2" x14ac:dyDescent="0.3">
      <c r="A33" s="20" t="s">
        <v>535</v>
      </c>
      <c r="B33" s="76" t="s">
        <v>572</v>
      </c>
    </row>
    <row r="34" spans="1:2" x14ac:dyDescent="0.3">
      <c r="A34" s="20" t="s">
        <v>669</v>
      </c>
      <c r="B34" s="76" t="s">
        <v>668</v>
      </c>
    </row>
    <row r="35" spans="1:2" x14ac:dyDescent="0.3">
      <c r="A35" s="20" t="s">
        <v>661</v>
      </c>
      <c r="B35" s="76" t="s">
        <v>572</v>
      </c>
    </row>
    <row r="36" spans="1:2" x14ac:dyDescent="0.3">
      <c r="A36" s="20" t="s">
        <v>662</v>
      </c>
      <c r="B36" s="76" t="s">
        <v>572</v>
      </c>
    </row>
    <row r="37" spans="1:2" x14ac:dyDescent="0.3">
      <c r="A37" s="20" t="s">
        <v>663</v>
      </c>
      <c r="B37" s="36" t="s">
        <v>572</v>
      </c>
    </row>
    <row r="38" spans="1:2" x14ac:dyDescent="0.3">
      <c r="A38" s="20" t="s">
        <v>664</v>
      </c>
      <c r="B38" s="36" t="s">
        <v>572</v>
      </c>
    </row>
    <row r="39" spans="1:2" x14ac:dyDescent="0.3">
      <c r="A39" s="20" t="s">
        <v>665</v>
      </c>
      <c r="B39" s="77" t="s">
        <v>572</v>
      </c>
    </row>
    <row r="40" spans="1:2" x14ac:dyDescent="0.3">
      <c r="A40" s="20" t="s">
        <v>666</v>
      </c>
      <c r="B40" s="77" t="s">
        <v>572</v>
      </c>
    </row>
    <row r="41" spans="1:2" x14ac:dyDescent="0.3">
      <c r="A41" s="20" t="s">
        <v>729</v>
      </c>
      <c r="B41" s="36" t="s">
        <v>572</v>
      </c>
    </row>
    <row r="42" spans="1:2" x14ac:dyDescent="0.3">
      <c r="A42" s="20" t="s">
        <v>713</v>
      </c>
      <c r="B42" s="76" t="s">
        <v>572</v>
      </c>
    </row>
    <row r="43" spans="1:2" x14ac:dyDescent="0.3">
      <c r="A43" s="20" t="s">
        <v>714</v>
      </c>
      <c r="B43" s="77" t="s">
        <v>572</v>
      </c>
    </row>
    <row r="44" spans="1:2" x14ac:dyDescent="0.3">
      <c r="B44" s="77"/>
    </row>
    <row r="45" spans="1:2" x14ac:dyDescent="0.3">
      <c r="B45" s="36"/>
    </row>
    <row r="46" spans="1:2" ht="18" x14ac:dyDescent="0.3">
      <c r="A46" s="58" t="s">
        <v>173</v>
      </c>
      <c r="B46" s="36"/>
    </row>
    <row r="47" spans="1:2" ht="31.5" customHeight="1" x14ac:dyDescent="0.3">
      <c r="A47" s="87" t="s">
        <v>686</v>
      </c>
      <c r="B47" s="36" t="s">
        <v>572</v>
      </c>
    </row>
    <row r="48" spans="1:2" ht="31.5" customHeight="1" x14ac:dyDescent="0.3">
      <c r="A48" s="87" t="s">
        <v>760</v>
      </c>
      <c r="B48" s="77">
        <v>0.5</v>
      </c>
    </row>
    <row r="49" spans="1:2" ht="17.25" customHeight="1" x14ac:dyDescent="0.3">
      <c r="A49" s="87" t="s">
        <v>690</v>
      </c>
      <c r="B49" s="260" t="s">
        <v>572</v>
      </c>
    </row>
    <row r="50" spans="1:2" ht="16.5" customHeight="1" x14ac:dyDescent="0.3">
      <c r="A50" s="87" t="s">
        <v>727</v>
      </c>
      <c r="B50" s="260" t="s">
        <v>572</v>
      </c>
    </row>
    <row r="51" spans="1:2" ht="15" customHeight="1" x14ac:dyDescent="0.3">
      <c r="A51" s="88"/>
      <c r="B51" s="79"/>
    </row>
    <row r="52" spans="1:2" ht="15" customHeight="1" x14ac:dyDescent="0.3">
      <c r="A52" s="58"/>
      <c r="B52" s="36"/>
    </row>
    <row r="53" spans="1:2" ht="18" x14ac:dyDescent="0.3">
      <c r="A53" s="58" t="s">
        <v>11</v>
      </c>
      <c r="B53" s="36"/>
    </row>
    <row r="54" spans="1:2" x14ac:dyDescent="0.3">
      <c r="A54" s="20" t="s">
        <v>162</v>
      </c>
      <c r="B54" s="36" t="s">
        <v>552</v>
      </c>
    </row>
    <row r="55" spans="1:2" x14ac:dyDescent="0.3">
      <c r="A55" s="20" t="s">
        <v>163</v>
      </c>
      <c r="B55" s="36" t="s">
        <v>572</v>
      </c>
    </row>
    <row r="56" spans="1:2" x14ac:dyDescent="0.3">
      <c r="A56" s="20" t="s">
        <v>164</v>
      </c>
      <c r="B56" s="77" t="s">
        <v>572</v>
      </c>
    </row>
    <row r="57" spans="1:2" x14ac:dyDescent="0.3">
      <c r="A57" s="20" t="s">
        <v>165</v>
      </c>
      <c r="B57" s="36" t="s">
        <v>572</v>
      </c>
    </row>
    <row r="58" spans="1:2" x14ac:dyDescent="0.3">
      <c r="A58" s="20" t="s">
        <v>166</v>
      </c>
      <c r="B58" s="36">
        <v>500000</v>
      </c>
    </row>
    <row r="59" spans="1:2" x14ac:dyDescent="0.3">
      <c r="B59" s="36"/>
    </row>
    <row r="60" spans="1:2" ht="18" x14ac:dyDescent="0.3">
      <c r="A60" s="58" t="s">
        <v>681</v>
      </c>
      <c r="B60" s="36"/>
    </row>
    <row r="61" spans="1:2" x14ac:dyDescent="0.3">
      <c r="A61" s="20" t="s">
        <v>587</v>
      </c>
      <c r="B61" s="77" t="s">
        <v>572</v>
      </c>
    </row>
    <row r="62" spans="1:2" x14ac:dyDescent="0.3">
      <c r="A62" s="20" t="s">
        <v>588</v>
      </c>
      <c r="B62" s="77">
        <v>0.05</v>
      </c>
    </row>
    <row r="63" spans="1:2" x14ac:dyDescent="0.3">
      <c r="A63" s="20" t="s">
        <v>683</v>
      </c>
      <c r="B63" s="77" t="s">
        <v>572</v>
      </c>
    </row>
    <row r="65" spans="1:2" ht="18" x14ac:dyDescent="0.3">
      <c r="A65" s="58" t="s">
        <v>36</v>
      </c>
      <c r="B65" s="77"/>
    </row>
    <row r="66" spans="1:2" x14ac:dyDescent="0.3">
      <c r="A66" s="20" t="s">
        <v>176</v>
      </c>
      <c r="B66" s="77" t="s">
        <v>572</v>
      </c>
    </row>
    <row r="67" spans="1:2" ht="28.8" x14ac:dyDescent="0.3">
      <c r="A67" s="78" t="s">
        <v>597</v>
      </c>
      <c r="B67" s="79" t="s">
        <v>572</v>
      </c>
    </row>
    <row r="68" spans="1:2" x14ac:dyDescent="0.3">
      <c r="A68" s="78"/>
      <c r="B68" s="79"/>
    </row>
    <row r="69" spans="1:2" ht="18" x14ac:dyDescent="0.3">
      <c r="A69" s="80" t="s">
        <v>14</v>
      </c>
      <c r="B69" s="79"/>
    </row>
    <row r="70" spans="1:2" x14ac:dyDescent="0.3">
      <c r="A70" s="78" t="s">
        <v>548</v>
      </c>
      <c r="B70" s="79" t="s">
        <v>572</v>
      </c>
    </row>
    <row r="71" spans="1:2" x14ac:dyDescent="0.3">
      <c r="A71" s="78" t="s">
        <v>177</v>
      </c>
      <c r="B71" s="77" t="s">
        <v>572</v>
      </c>
    </row>
    <row r="72" spans="1:2" x14ac:dyDescent="0.3">
      <c r="A72" s="78" t="s">
        <v>178</v>
      </c>
      <c r="B72" s="77">
        <v>0.49</v>
      </c>
    </row>
    <row r="73" spans="1:2" x14ac:dyDescent="0.3">
      <c r="A73" s="78" t="s">
        <v>179</v>
      </c>
      <c r="B73" s="77" t="s">
        <v>572</v>
      </c>
    </row>
    <row r="74" spans="1:2" x14ac:dyDescent="0.3">
      <c r="A74" s="78" t="s">
        <v>557</v>
      </c>
      <c r="B74" s="77" t="s">
        <v>572</v>
      </c>
    </row>
    <row r="75" spans="1:2" x14ac:dyDescent="0.3">
      <c r="A75" s="78" t="s">
        <v>633</v>
      </c>
      <c r="B75" s="77" t="s">
        <v>755</v>
      </c>
    </row>
    <row r="76" spans="1:2" x14ac:dyDescent="0.3">
      <c r="A76" s="78" t="s">
        <v>170</v>
      </c>
      <c r="B76" s="248">
        <v>173</v>
      </c>
    </row>
    <row r="77" spans="1:2" x14ac:dyDescent="0.3">
      <c r="A77" s="78" t="s">
        <v>180</v>
      </c>
      <c r="B77" s="77" t="s">
        <v>726</v>
      </c>
    </row>
    <row r="78" spans="1:2" x14ac:dyDescent="0.3">
      <c r="A78" s="78"/>
      <c r="B78" s="79"/>
    </row>
    <row r="81" spans="1:100" ht="18" x14ac:dyDescent="0.3">
      <c r="A81" s="58" t="s">
        <v>685</v>
      </c>
    </row>
    <row r="83" spans="1:100" outlineLevel="1" x14ac:dyDescent="0.3">
      <c r="A83" s="108" t="s">
        <v>146</v>
      </c>
      <c r="B83" s="245" t="s">
        <v>171</v>
      </c>
      <c r="C83" s="245" t="s">
        <v>655</v>
      </c>
      <c r="D83" s="245" t="s">
        <v>656</v>
      </c>
      <c r="E83" s="109" t="s">
        <v>50</v>
      </c>
      <c r="F83" s="109" t="s">
        <v>51</v>
      </c>
      <c r="G83" s="109" t="s">
        <v>52</v>
      </c>
      <c r="H83" s="109" t="s">
        <v>53</v>
      </c>
      <c r="I83" s="109" t="s">
        <v>54</v>
      </c>
      <c r="J83" s="109" t="s">
        <v>55</v>
      </c>
      <c r="K83" s="109" t="s">
        <v>56</v>
      </c>
      <c r="L83" s="109" t="s">
        <v>57</v>
      </c>
      <c r="M83" s="109" t="s">
        <v>58</v>
      </c>
      <c r="N83" s="109" t="s">
        <v>59</v>
      </c>
      <c r="O83" s="109" t="s">
        <v>60</v>
      </c>
      <c r="P83" s="109" t="s">
        <v>61</v>
      </c>
      <c r="Q83" s="109" t="s">
        <v>62</v>
      </c>
      <c r="R83" s="109" t="s">
        <v>63</v>
      </c>
      <c r="S83" s="109" t="s">
        <v>64</v>
      </c>
      <c r="T83" s="109" t="s">
        <v>65</v>
      </c>
      <c r="U83" s="109" t="s">
        <v>66</v>
      </c>
      <c r="V83" s="109" t="s">
        <v>67</v>
      </c>
      <c r="W83" s="109" t="s">
        <v>68</v>
      </c>
      <c r="X83" s="109" t="s">
        <v>69</v>
      </c>
      <c r="Y83" s="109" t="s">
        <v>70</v>
      </c>
      <c r="Z83" s="109" t="s">
        <v>71</v>
      </c>
      <c r="AA83" s="109" t="s">
        <v>72</v>
      </c>
      <c r="AB83" s="109" t="s">
        <v>73</v>
      </c>
      <c r="AC83" s="109" t="s">
        <v>74</v>
      </c>
      <c r="AD83" s="109" t="s">
        <v>75</v>
      </c>
      <c r="AE83" s="109" t="s">
        <v>76</v>
      </c>
      <c r="AF83" s="109" t="s">
        <v>77</v>
      </c>
      <c r="AG83" s="109" t="s">
        <v>78</v>
      </c>
      <c r="AH83" s="109" t="s">
        <v>79</v>
      </c>
      <c r="AI83" s="109" t="s">
        <v>80</v>
      </c>
      <c r="AJ83" s="109" t="s">
        <v>81</v>
      </c>
      <c r="AK83" s="109" t="s">
        <v>82</v>
      </c>
      <c r="AL83" s="109" t="s">
        <v>83</v>
      </c>
      <c r="AM83" s="109" t="s">
        <v>84</v>
      </c>
      <c r="AN83" s="109" t="s">
        <v>85</v>
      </c>
      <c r="AO83" s="109" t="s">
        <v>86</v>
      </c>
      <c r="AP83" s="109" t="s">
        <v>87</v>
      </c>
      <c r="AQ83" s="109" t="s">
        <v>88</v>
      </c>
      <c r="AR83" s="109" t="s">
        <v>89</v>
      </c>
      <c r="AS83" s="109" t="s">
        <v>90</v>
      </c>
      <c r="AT83" s="109" t="s">
        <v>91</v>
      </c>
      <c r="AU83" s="109" t="s">
        <v>92</v>
      </c>
      <c r="AV83" s="109" t="s">
        <v>93</v>
      </c>
      <c r="AW83" s="109" t="s">
        <v>94</v>
      </c>
      <c r="AX83" s="109" t="s">
        <v>95</v>
      </c>
      <c r="AY83" s="109" t="s">
        <v>96</v>
      </c>
      <c r="AZ83" s="109" t="s">
        <v>97</v>
      </c>
      <c r="BA83" s="109" t="s">
        <v>98</v>
      </c>
      <c r="BB83" s="109" t="s">
        <v>99</v>
      </c>
      <c r="BC83" s="109" t="s">
        <v>100</v>
      </c>
      <c r="BD83" s="109" t="s">
        <v>101</v>
      </c>
      <c r="BE83" s="109" t="s">
        <v>102</v>
      </c>
      <c r="BF83" s="109" t="s">
        <v>103</v>
      </c>
      <c r="BG83" s="109" t="s">
        <v>104</v>
      </c>
      <c r="BH83" s="109" t="s">
        <v>105</v>
      </c>
      <c r="BI83" s="109" t="s">
        <v>106</v>
      </c>
      <c r="BJ83" s="109" t="s">
        <v>107</v>
      </c>
      <c r="BK83" s="109" t="s">
        <v>108</v>
      </c>
      <c r="BL83" s="109" t="s">
        <v>109</v>
      </c>
      <c r="BM83" s="109" t="s">
        <v>110</v>
      </c>
      <c r="BN83" s="109" t="s">
        <v>111</v>
      </c>
      <c r="BO83" s="109" t="s">
        <v>112</v>
      </c>
      <c r="BP83" s="109" t="s">
        <v>113</v>
      </c>
      <c r="BQ83" s="109" t="s">
        <v>114</v>
      </c>
      <c r="BR83" s="109" t="s">
        <v>115</v>
      </c>
      <c r="BS83" s="109" t="s">
        <v>116</v>
      </c>
      <c r="BT83" s="109" t="s">
        <v>117</v>
      </c>
      <c r="BU83" s="109" t="s">
        <v>118</v>
      </c>
      <c r="BV83" s="109" t="s">
        <v>119</v>
      </c>
      <c r="BW83" s="109" t="s">
        <v>120</v>
      </c>
      <c r="BX83" s="109" t="s">
        <v>121</v>
      </c>
      <c r="BY83" s="109" t="s">
        <v>122</v>
      </c>
      <c r="BZ83" s="109" t="s">
        <v>123</v>
      </c>
      <c r="CA83" s="109" t="s">
        <v>124</v>
      </c>
      <c r="CB83" s="109" t="s">
        <v>125</v>
      </c>
      <c r="CC83" s="109" t="s">
        <v>126</v>
      </c>
      <c r="CD83" s="109" t="s">
        <v>127</v>
      </c>
      <c r="CE83" s="109" t="s">
        <v>128</v>
      </c>
      <c r="CF83" s="109" t="s">
        <v>129</v>
      </c>
      <c r="CG83" s="109" t="s">
        <v>130</v>
      </c>
      <c r="CH83" s="109" t="s">
        <v>131</v>
      </c>
      <c r="CI83" s="109" t="s">
        <v>132</v>
      </c>
      <c r="CJ83" s="109" t="s">
        <v>133</v>
      </c>
      <c r="CK83" s="109" t="s">
        <v>134</v>
      </c>
      <c r="CL83" s="109" t="s">
        <v>135</v>
      </c>
      <c r="CM83" s="109" t="s">
        <v>136</v>
      </c>
      <c r="CN83" s="109" t="s">
        <v>137</v>
      </c>
      <c r="CO83" s="109" t="s">
        <v>138</v>
      </c>
      <c r="CP83" s="109" t="s">
        <v>139</v>
      </c>
      <c r="CQ83" s="109" t="s">
        <v>140</v>
      </c>
      <c r="CR83" s="109" t="s">
        <v>141</v>
      </c>
      <c r="CS83" s="109" t="s">
        <v>142</v>
      </c>
      <c r="CT83" s="109" t="s">
        <v>143</v>
      </c>
      <c r="CU83" s="109" t="s">
        <v>144</v>
      </c>
      <c r="CV83" s="109" t="s">
        <v>145</v>
      </c>
    </row>
    <row r="84" spans="1:100" s="5" customFormat="1" ht="13.8" outlineLevel="1" x14ac:dyDescent="0.3">
      <c r="A84" s="332" t="s">
        <v>733</v>
      </c>
      <c r="B84" s="105" t="s">
        <v>736</v>
      </c>
      <c r="C84" s="255">
        <v>1</v>
      </c>
      <c r="D84" s="256">
        <v>1</v>
      </c>
      <c r="E84" s="244"/>
      <c r="F84" s="242"/>
      <c r="G84" s="242"/>
      <c r="H84" s="242"/>
      <c r="I84" s="242"/>
      <c r="J84" s="242"/>
      <c r="K84" s="242"/>
      <c r="L84" s="242"/>
      <c r="M84" s="242"/>
      <c r="N84" s="242"/>
      <c r="O84" s="242"/>
      <c r="P84" s="242"/>
      <c r="Q84" s="244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4"/>
      <c r="AD84" s="242"/>
      <c r="AE84" s="242"/>
      <c r="AF84" s="242"/>
      <c r="AG84" s="242"/>
      <c r="AH84" s="242"/>
      <c r="AI84" s="242"/>
      <c r="AJ84" s="242"/>
      <c r="AK84" s="242"/>
      <c r="AL84" s="242"/>
      <c r="AM84" s="242"/>
      <c r="AN84" s="242"/>
      <c r="AO84" s="244"/>
      <c r="AP84" s="242"/>
      <c r="AQ84" s="242"/>
      <c r="AR84" s="242"/>
      <c r="AS84" s="242"/>
      <c r="AT84" s="242"/>
      <c r="AU84" s="242"/>
      <c r="AV84" s="242"/>
      <c r="AW84" s="242"/>
      <c r="AX84" s="242"/>
      <c r="AY84" s="242"/>
      <c r="AZ84" s="242"/>
      <c r="BA84" s="242"/>
      <c r="BB84" s="242"/>
      <c r="BC84" s="242"/>
      <c r="BD84" s="242"/>
      <c r="BE84" s="242"/>
      <c r="BF84" s="242"/>
      <c r="BG84" s="242"/>
      <c r="BH84" s="242"/>
      <c r="BI84" s="242"/>
      <c r="BJ84" s="242"/>
      <c r="BK84" s="242"/>
      <c r="BL84" s="242"/>
      <c r="BM84" s="242"/>
      <c r="BN84" s="242"/>
      <c r="BO84" s="242"/>
      <c r="BP84" s="242"/>
      <c r="BQ84" s="242"/>
      <c r="BR84" s="242"/>
      <c r="BS84" s="242"/>
      <c r="BT84" s="242"/>
      <c r="BU84" s="242"/>
      <c r="BV84" s="242"/>
      <c r="BW84" s="242"/>
      <c r="BX84" s="242"/>
      <c r="BY84" s="242"/>
      <c r="BZ84" s="242"/>
      <c r="CA84" s="242"/>
      <c r="CB84" s="242"/>
      <c r="CC84" s="242"/>
      <c r="CD84" s="242"/>
      <c r="CE84" s="242"/>
      <c r="CF84" s="242"/>
      <c r="CG84" s="242"/>
      <c r="CH84" s="242"/>
      <c r="CI84" s="242"/>
      <c r="CJ84" s="242"/>
      <c r="CK84" s="242"/>
      <c r="CL84" s="242"/>
      <c r="CM84" s="242"/>
      <c r="CN84" s="242"/>
      <c r="CO84" s="242"/>
      <c r="CP84" s="242"/>
      <c r="CQ84" s="242"/>
      <c r="CR84" s="242"/>
      <c r="CS84" s="242"/>
      <c r="CT84" s="242"/>
      <c r="CU84" s="242"/>
      <c r="CV84" s="242"/>
    </row>
    <row r="85" spans="1:100" s="5" customFormat="1" ht="13.8" outlineLevel="1" x14ac:dyDescent="0.3">
      <c r="A85" s="333" t="s">
        <v>747</v>
      </c>
      <c r="B85" s="242" t="s">
        <v>677</v>
      </c>
      <c r="C85" s="255">
        <v>999</v>
      </c>
      <c r="D85" s="256">
        <v>1</v>
      </c>
      <c r="E85" s="323">
        <v>5062</v>
      </c>
      <c r="F85" s="323">
        <v>10124</v>
      </c>
      <c r="G85" s="323">
        <v>15186</v>
      </c>
      <c r="H85" s="323">
        <v>20248</v>
      </c>
      <c r="I85" s="323">
        <v>25310</v>
      </c>
      <c r="J85" s="323">
        <v>30372</v>
      </c>
      <c r="K85" s="323">
        <v>35434</v>
      </c>
      <c r="L85" s="323">
        <v>40496</v>
      </c>
      <c r="M85" s="323">
        <v>45558</v>
      </c>
      <c r="N85" s="323">
        <v>50620</v>
      </c>
      <c r="O85" s="323">
        <v>55682</v>
      </c>
      <c r="P85" s="323">
        <v>65806</v>
      </c>
      <c r="Q85" s="323">
        <v>72561</v>
      </c>
      <c r="R85" s="323">
        <v>79316</v>
      </c>
      <c r="S85" s="323">
        <v>86071</v>
      </c>
      <c r="T85" s="323">
        <v>92825</v>
      </c>
      <c r="U85" s="323">
        <v>99580</v>
      </c>
      <c r="V85" s="323">
        <v>106335</v>
      </c>
      <c r="W85" s="323">
        <v>113090</v>
      </c>
      <c r="X85" s="323">
        <v>119845</v>
      </c>
      <c r="Y85" s="323">
        <v>126600</v>
      </c>
      <c r="Z85" s="323">
        <v>133354</v>
      </c>
      <c r="AA85" s="323">
        <v>140109</v>
      </c>
      <c r="AB85" s="323">
        <v>146864</v>
      </c>
      <c r="AC85" s="323">
        <v>154269</v>
      </c>
      <c r="AD85" s="323">
        <v>161673</v>
      </c>
      <c r="AE85" s="323">
        <v>169078</v>
      </c>
      <c r="AF85" s="323">
        <v>176482</v>
      </c>
      <c r="AG85" s="323">
        <v>183887</v>
      </c>
      <c r="AH85" s="323">
        <v>191292</v>
      </c>
      <c r="AI85" s="323">
        <v>198696</v>
      </c>
      <c r="AJ85" s="323">
        <v>206101</v>
      </c>
      <c r="AK85" s="323">
        <v>213505</v>
      </c>
      <c r="AL85" s="323">
        <v>220910</v>
      </c>
      <c r="AM85" s="323">
        <v>228314</v>
      </c>
      <c r="AN85" s="323">
        <v>235719</v>
      </c>
      <c r="AO85" s="323">
        <v>243899</v>
      </c>
      <c r="AP85" s="323">
        <v>252079</v>
      </c>
      <c r="AQ85" s="323">
        <v>260258</v>
      </c>
      <c r="AR85" s="323">
        <v>268438</v>
      </c>
      <c r="AS85" s="323">
        <v>276618</v>
      </c>
      <c r="AT85" s="323">
        <v>284798</v>
      </c>
      <c r="AU85" s="323">
        <v>292977</v>
      </c>
      <c r="AV85" s="323">
        <v>301157</v>
      </c>
      <c r="AW85" s="323">
        <v>309337</v>
      </c>
      <c r="AX85" s="323">
        <v>317517</v>
      </c>
      <c r="AY85" s="323">
        <v>325696</v>
      </c>
      <c r="AZ85" s="323">
        <v>333876</v>
      </c>
      <c r="BA85" s="323">
        <v>342398</v>
      </c>
      <c r="BB85" s="323">
        <v>350920</v>
      </c>
      <c r="BC85" s="323">
        <v>359443</v>
      </c>
      <c r="BD85" s="323">
        <v>367965</v>
      </c>
      <c r="BE85" s="323">
        <v>376487</v>
      </c>
      <c r="BF85" s="323">
        <v>385009</v>
      </c>
      <c r="BG85" s="323">
        <v>393531</v>
      </c>
      <c r="BH85" s="323">
        <v>402053</v>
      </c>
      <c r="BI85" s="323">
        <v>410576</v>
      </c>
      <c r="BJ85" s="323">
        <v>419098</v>
      </c>
      <c r="BK85" s="323">
        <v>427620</v>
      </c>
      <c r="BL85" s="323">
        <v>436142</v>
      </c>
      <c r="BM85" s="323">
        <v>445107</v>
      </c>
      <c r="BN85" s="323">
        <v>454072</v>
      </c>
      <c r="BO85" s="323">
        <v>463037</v>
      </c>
      <c r="BP85" s="323">
        <v>472002</v>
      </c>
      <c r="BQ85" s="323">
        <v>480967</v>
      </c>
      <c r="BR85" s="323">
        <v>489933</v>
      </c>
      <c r="BS85" s="323">
        <v>498898</v>
      </c>
      <c r="BT85" s="323">
        <v>507863</v>
      </c>
      <c r="BU85" s="323">
        <v>516828</v>
      </c>
      <c r="BV85" s="323">
        <v>525793</v>
      </c>
      <c r="BW85" s="323">
        <v>534758</v>
      </c>
      <c r="BX85" s="323">
        <v>543723</v>
      </c>
      <c r="BY85" s="323">
        <v>553154</v>
      </c>
      <c r="BZ85" s="323">
        <v>562585</v>
      </c>
      <c r="CA85" s="323">
        <v>572015</v>
      </c>
      <c r="CB85" s="323">
        <v>581446</v>
      </c>
      <c r="CC85" s="323">
        <v>590877</v>
      </c>
      <c r="CD85" s="323">
        <v>600308</v>
      </c>
      <c r="CE85" s="323">
        <v>609738</v>
      </c>
      <c r="CF85" s="323">
        <v>619169</v>
      </c>
      <c r="CG85" s="323">
        <v>628600</v>
      </c>
      <c r="CH85" s="323">
        <v>638031</v>
      </c>
      <c r="CI85" s="323">
        <v>647461</v>
      </c>
      <c r="CJ85" s="323">
        <v>656892</v>
      </c>
      <c r="CK85" s="323">
        <v>666813</v>
      </c>
      <c r="CL85" s="323">
        <v>676733</v>
      </c>
      <c r="CM85" s="323">
        <v>686654</v>
      </c>
      <c r="CN85" s="323">
        <v>696574</v>
      </c>
      <c r="CO85" s="323">
        <v>706495</v>
      </c>
      <c r="CP85" s="323">
        <v>716416</v>
      </c>
      <c r="CQ85" s="323">
        <v>726336</v>
      </c>
      <c r="CR85" s="323">
        <v>736257</v>
      </c>
      <c r="CS85" s="323">
        <v>746177</v>
      </c>
      <c r="CT85" s="323">
        <v>756098</v>
      </c>
      <c r="CU85" s="323">
        <v>766018</v>
      </c>
      <c r="CV85" s="324">
        <v>775939</v>
      </c>
    </row>
    <row r="86" spans="1:100" s="5" customFormat="1" ht="13.8" outlineLevel="1" x14ac:dyDescent="0.3">
      <c r="A86" s="333" t="s">
        <v>748</v>
      </c>
      <c r="B86" s="242" t="s">
        <v>677</v>
      </c>
      <c r="C86" s="255">
        <v>999</v>
      </c>
      <c r="D86" s="256">
        <v>1</v>
      </c>
      <c r="E86" s="323">
        <v>5062</v>
      </c>
      <c r="F86" s="323">
        <v>10124</v>
      </c>
      <c r="G86" s="323">
        <v>15186</v>
      </c>
      <c r="H86" s="323">
        <v>20248</v>
      </c>
      <c r="I86" s="323">
        <v>25310</v>
      </c>
      <c r="J86" s="323">
        <v>30372</v>
      </c>
      <c r="K86" s="323">
        <v>35434</v>
      </c>
      <c r="L86" s="323">
        <v>40496</v>
      </c>
      <c r="M86" s="323">
        <v>45558</v>
      </c>
      <c r="N86" s="323">
        <v>50620</v>
      </c>
      <c r="O86" s="323">
        <v>55682</v>
      </c>
      <c r="P86" s="323">
        <v>65806</v>
      </c>
      <c r="Q86" s="323">
        <v>72561</v>
      </c>
      <c r="R86" s="323">
        <v>79316</v>
      </c>
      <c r="S86" s="323">
        <v>86071</v>
      </c>
      <c r="T86" s="323">
        <v>92825</v>
      </c>
      <c r="U86" s="323">
        <v>99580</v>
      </c>
      <c r="V86" s="323">
        <v>106335</v>
      </c>
      <c r="W86" s="323">
        <v>113090</v>
      </c>
      <c r="X86" s="323">
        <v>119845</v>
      </c>
      <c r="Y86" s="323">
        <v>126600</v>
      </c>
      <c r="Z86" s="323">
        <v>133354</v>
      </c>
      <c r="AA86" s="323">
        <v>140109</v>
      </c>
      <c r="AB86" s="323">
        <v>146864</v>
      </c>
      <c r="AC86" s="323">
        <v>154269</v>
      </c>
      <c r="AD86" s="323">
        <v>161673</v>
      </c>
      <c r="AE86" s="323">
        <v>169078</v>
      </c>
      <c r="AF86" s="323">
        <v>176482</v>
      </c>
      <c r="AG86" s="323">
        <v>183887</v>
      </c>
      <c r="AH86" s="323">
        <v>191292</v>
      </c>
      <c r="AI86" s="323">
        <v>198696</v>
      </c>
      <c r="AJ86" s="323">
        <v>206101</v>
      </c>
      <c r="AK86" s="323">
        <v>213505</v>
      </c>
      <c r="AL86" s="323">
        <v>220910</v>
      </c>
      <c r="AM86" s="323">
        <v>228314</v>
      </c>
      <c r="AN86" s="323">
        <v>235719</v>
      </c>
      <c r="AO86" s="323">
        <v>243899</v>
      </c>
      <c r="AP86" s="323">
        <v>252079</v>
      </c>
      <c r="AQ86" s="323">
        <v>260258</v>
      </c>
      <c r="AR86" s="323">
        <v>268438</v>
      </c>
      <c r="AS86" s="323">
        <v>276618</v>
      </c>
      <c r="AT86" s="323">
        <v>284798</v>
      </c>
      <c r="AU86" s="323">
        <v>292977</v>
      </c>
      <c r="AV86" s="323">
        <v>301157</v>
      </c>
      <c r="AW86" s="323">
        <v>309337</v>
      </c>
      <c r="AX86" s="323">
        <v>317517</v>
      </c>
      <c r="AY86" s="323">
        <v>325696</v>
      </c>
      <c r="AZ86" s="323">
        <v>333876</v>
      </c>
      <c r="BA86" s="323">
        <v>342398</v>
      </c>
      <c r="BB86" s="323">
        <v>350920</v>
      </c>
      <c r="BC86" s="323">
        <v>359443</v>
      </c>
      <c r="BD86" s="323">
        <v>367965</v>
      </c>
      <c r="BE86" s="323">
        <v>376487</v>
      </c>
      <c r="BF86" s="323">
        <v>385009</v>
      </c>
      <c r="BG86" s="323">
        <v>393531</v>
      </c>
      <c r="BH86" s="323">
        <v>402053</v>
      </c>
      <c r="BI86" s="323">
        <v>410576</v>
      </c>
      <c r="BJ86" s="323">
        <v>419098</v>
      </c>
      <c r="BK86" s="323">
        <v>427620</v>
      </c>
      <c r="BL86" s="323">
        <v>436142</v>
      </c>
      <c r="BM86" s="323">
        <v>445107</v>
      </c>
      <c r="BN86" s="323">
        <v>454072</v>
      </c>
      <c r="BO86" s="323">
        <v>463037</v>
      </c>
      <c r="BP86" s="323">
        <v>472002</v>
      </c>
      <c r="BQ86" s="323">
        <v>480967</v>
      </c>
      <c r="BR86" s="323">
        <v>489933</v>
      </c>
      <c r="BS86" s="323">
        <v>498898</v>
      </c>
      <c r="BT86" s="323">
        <v>507863</v>
      </c>
      <c r="BU86" s="323">
        <v>516828</v>
      </c>
      <c r="BV86" s="323">
        <v>525793</v>
      </c>
      <c r="BW86" s="323">
        <v>534758</v>
      </c>
      <c r="BX86" s="323">
        <v>543723</v>
      </c>
      <c r="BY86" s="323">
        <v>553154</v>
      </c>
      <c r="BZ86" s="323">
        <v>562585</v>
      </c>
      <c r="CA86" s="323">
        <v>572015</v>
      </c>
      <c r="CB86" s="323">
        <v>581446</v>
      </c>
      <c r="CC86" s="323">
        <v>590877</v>
      </c>
      <c r="CD86" s="323">
        <v>600308</v>
      </c>
      <c r="CE86" s="323">
        <v>609738</v>
      </c>
      <c r="CF86" s="323">
        <v>619169</v>
      </c>
      <c r="CG86" s="323">
        <v>628600</v>
      </c>
      <c r="CH86" s="323">
        <v>638031</v>
      </c>
      <c r="CI86" s="323">
        <v>647461</v>
      </c>
      <c r="CJ86" s="323">
        <v>656892</v>
      </c>
      <c r="CK86" s="323">
        <v>666813</v>
      </c>
      <c r="CL86" s="323">
        <v>676733</v>
      </c>
      <c r="CM86" s="323">
        <v>686654</v>
      </c>
      <c r="CN86" s="323">
        <v>696574</v>
      </c>
      <c r="CO86" s="323">
        <v>706495</v>
      </c>
      <c r="CP86" s="323">
        <v>716416</v>
      </c>
      <c r="CQ86" s="323">
        <v>726336</v>
      </c>
      <c r="CR86" s="323">
        <v>736257</v>
      </c>
      <c r="CS86" s="323">
        <v>746177</v>
      </c>
      <c r="CT86" s="323">
        <v>756098</v>
      </c>
      <c r="CU86" s="323">
        <v>766018</v>
      </c>
      <c r="CV86" s="324">
        <v>775939</v>
      </c>
    </row>
    <row r="87" spans="1:100" s="5" customFormat="1" ht="13.8" outlineLevel="1" x14ac:dyDescent="0.3">
      <c r="A87" s="333" t="s">
        <v>750</v>
      </c>
      <c r="B87" s="242" t="s">
        <v>677</v>
      </c>
      <c r="C87" s="255">
        <v>999</v>
      </c>
      <c r="D87" s="256">
        <v>1</v>
      </c>
      <c r="E87" s="323">
        <v>5114</v>
      </c>
      <c r="F87" s="323">
        <v>10229</v>
      </c>
      <c r="G87" s="323">
        <v>15343</v>
      </c>
      <c r="H87" s="323">
        <v>20458</v>
      </c>
      <c r="I87" s="323">
        <v>25572</v>
      </c>
      <c r="J87" s="323">
        <v>30687</v>
      </c>
      <c r="K87" s="323">
        <v>35801</v>
      </c>
      <c r="L87" s="323">
        <v>40915</v>
      </c>
      <c r="M87" s="323">
        <v>46030</v>
      </c>
      <c r="N87" s="323">
        <v>51144</v>
      </c>
      <c r="O87" s="323">
        <v>56259</v>
      </c>
      <c r="P87" s="323">
        <v>66487</v>
      </c>
      <c r="Q87" s="323">
        <v>73302</v>
      </c>
      <c r="R87" s="323">
        <v>80117</v>
      </c>
      <c r="S87" s="323">
        <v>86931</v>
      </c>
      <c r="T87" s="323">
        <v>93746</v>
      </c>
      <c r="U87" s="323">
        <v>100561</v>
      </c>
      <c r="V87" s="323">
        <v>107376</v>
      </c>
      <c r="W87" s="323">
        <v>114190</v>
      </c>
      <c r="X87" s="323">
        <v>121005</v>
      </c>
      <c r="Y87" s="323">
        <v>127820</v>
      </c>
      <c r="Z87" s="323">
        <v>134635</v>
      </c>
      <c r="AA87" s="323">
        <v>141449</v>
      </c>
      <c r="AB87" s="323">
        <v>148264</v>
      </c>
      <c r="AC87" s="323">
        <v>155740</v>
      </c>
      <c r="AD87" s="323">
        <v>163216</v>
      </c>
      <c r="AE87" s="323">
        <v>170692</v>
      </c>
      <c r="AF87" s="323">
        <v>178168</v>
      </c>
      <c r="AG87" s="323">
        <v>185644</v>
      </c>
      <c r="AH87" s="323">
        <v>193121</v>
      </c>
      <c r="AI87" s="323">
        <v>200597</v>
      </c>
      <c r="AJ87" s="323">
        <v>208073</v>
      </c>
      <c r="AK87" s="323">
        <v>215549</v>
      </c>
      <c r="AL87" s="323">
        <v>223025</v>
      </c>
      <c r="AM87" s="323">
        <v>230501</v>
      </c>
      <c r="AN87" s="323">
        <v>237977</v>
      </c>
      <c r="AO87" s="323">
        <v>246231</v>
      </c>
      <c r="AP87" s="323">
        <v>254485</v>
      </c>
      <c r="AQ87" s="323">
        <v>262739</v>
      </c>
      <c r="AR87" s="323">
        <v>270992</v>
      </c>
      <c r="AS87" s="323">
        <v>279246</v>
      </c>
      <c r="AT87" s="323">
        <v>287500</v>
      </c>
      <c r="AU87" s="323">
        <v>295754</v>
      </c>
      <c r="AV87" s="323">
        <v>304008</v>
      </c>
      <c r="AW87" s="323">
        <v>312262</v>
      </c>
      <c r="AX87" s="323">
        <v>320515</v>
      </c>
      <c r="AY87" s="323">
        <v>328769</v>
      </c>
      <c r="AZ87" s="323">
        <v>337023</v>
      </c>
      <c r="BA87" s="323">
        <v>345623</v>
      </c>
      <c r="BB87" s="323">
        <v>354223</v>
      </c>
      <c r="BC87" s="323">
        <v>362823</v>
      </c>
      <c r="BD87" s="323">
        <v>371423</v>
      </c>
      <c r="BE87" s="323">
        <v>380023</v>
      </c>
      <c r="BF87" s="323">
        <v>388624</v>
      </c>
      <c r="BG87" s="323">
        <v>397224</v>
      </c>
      <c r="BH87" s="323">
        <v>405824</v>
      </c>
      <c r="BI87" s="323">
        <v>414424</v>
      </c>
      <c r="BJ87" s="323">
        <v>423024</v>
      </c>
      <c r="BK87" s="323">
        <v>431624</v>
      </c>
      <c r="BL87" s="323">
        <v>440224</v>
      </c>
      <c r="BM87" s="323">
        <v>449271</v>
      </c>
      <c r="BN87" s="323">
        <v>458318</v>
      </c>
      <c r="BO87" s="323">
        <v>467365</v>
      </c>
      <c r="BP87" s="323">
        <v>476412</v>
      </c>
      <c r="BQ87" s="323">
        <v>485459</v>
      </c>
      <c r="BR87" s="323">
        <v>494506</v>
      </c>
      <c r="BS87" s="323">
        <v>503553</v>
      </c>
      <c r="BT87" s="323">
        <v>512600</v>
      </c>
      <c r="BU87" s="323">
        <v>521647</v>
      </c>
      <c r="BV87" s="323">
        <v>530694</v>
      </c>
      <c r="BW87" s="323">
        <v>539741</v>
      </c>
      <c r="BX87" s="323">
        <v>548788</v>
      </c>
      <c r="BY87" s="323">
        <v>558305</v>
      </c>
      <c r="BZ87" s="323">
        <v>567822</v>
      </c>
      <c r="CA87" s="323">
        <v>577339</v>
      </c>
      <c r="CB87" s="323">
        <v>586856</v>
      </c>
      <c r="CC87" s="323">
        <v>596373</v>
      </c>
      <c r="CD87" s="323">
        <v>605890</v>
      </c>
      <c r="CE87" s="323">
        <v>615407</v>
      </c>
      <c r="CF87" s="323">
        <v>624924</v>
      </c>
      <c r="CG87" s="323">
        <v>634441</v>
      </c>
      <c r="CH87" s="323">
        <v>643958</v>
      </c>
      <c r="CI87" s="323">
        <v>653475</v>
      </c>
      <c r="CJ87" s="323">
        <v>662992</v>
      </c>
      <c r="CK87" s="323">
        <v>673003</v>
      </c>
      <c r="CL87" s="323">
        <v>683015</v>
      </c>
      <c r="CM87" s="323">
        <v>693026</v>
      </c>
      <c r="CN87" s="323">
        <v>703037</v>
      </c>
      <c r="CO87" s="323">
        <v>713049</v>
      </c>
      <c r="CP87" s="323">
        <v>723060</v>
      </c>
      <c r="CQ87" s="323">
        <v>733071</v>
      </c>
      <c r="CR87" s="323">
        <v>743083</v>
      </c>
      <c r="CS87" s="323">
        <v>753094</v>
      </c>
      <c r="CT87" s="323">
        <v>763105</v>
      </c>
      <c r="CU87" s="323">
        <v>773117</v>
      </c>
      <c r="CV87" s="324">
        <v>783128</v>
      </c>
    </row>
    <row r="88" spans="1:100" s="5" customFormat="1" ht="13.8" outlineLevel="1" x14ac:dyDescent="0.3">
      <c r="A88" s="333" t="s">
        <v>751</v>
      </c>
      <c r="B88" s="242" t="s">
        <v>677</v>
      </c>
      <c r="C88" s="255">
        <v>999</v>
      </c>
      <c r="D88" s="256">
        <v>1</v>
      </c>
      <c r="E88" s="323">
        <v>5114</v>
      </c>
      <c r="F88" s="323">
        <v>10229</v>
      </c>
      <c r="G88" s="323">
        <v>15343</v>
      </c>
      <c r="H88" s="323">
        <v>20458</v>
      </c>
      <c r="I88" s="323">
        <v>25572</v>
      </c>
      <c r="J88" s="323">
        <v>30687</v>
      </c>
      <c r="K88" s="323">
        <v>35801</v>
      </c>
      <c r="L88" s="323">
        <v>40915</v>
      </c>
      <c r="M88" s="323">
        <v>46030</v>
      </c>
      <c r="N88" s="323">
        <v>51144</v>
      </c>
      <c r="O88" s="323">
        <v>56259</v>
      </c>
      <c r="P88" s="323">
        <v>66487</v>
      </c>
      <c r="Q88" s="323">
        <v>73302</v>
      </c>
      <c r="R88" s="323">
        <v>80117</v>
      </c>
      <c r="S88" s="323">
        <v>86931</v>
      </c>
      <c r="T88" s="323">
        <v>93746</v>
      </c>
      <c r="U88" s="323">
        <v>100561</v>
      </c>
      <c r="V88" s="323">
        <v>107376</v>
      </c>
      <c r="W88" s="323">
        <v>114190</v>
      </c>
      <c r="X88" s="323">
        <v>121005</v>
      </c>
      <c r="Y88" s="323">
        <v>127820</v>
      </c>
      <c r="Z88" s="323">
        <v>134635</v>
      </c>
      <c r="AA88" s="323">
        <v>141449</v>
      </c>
      <c r="AB88" s="323">
        <v>148264</v>
      </c>
      <c r="AC88" s="323">
        <v>155740</v>
      </c>
      <c r="AD88" s="323">
        <v>163216</v>
      </c>
      <c r="AE88" s="323">
        <v>170692</v>
      </c>
      <c r="AF88" s="323">
        <v>178168</v>
      </c>
      <c r="AG88" s="323">
        <v>185644</v>
      </c>
      <c r="AH88" s="323">
        <v>193121</v>
      </c>
      <c r="AI88" s="323">
        <v>200597</v>
      </c>
      <c r="AJ88" s="323">
        <v>208073</v>
      </c>
      <c r="AK88" s="323">
        <v>215549</v>
      </c>
      <c r="AL88" s="323">
        <v>223025</v>
      </c>
      <c r="AM88" s="323">
        <v>230501</v>
      </c>
      <c r="AN88" s="323">
        <v>237977</v>
      </c>
      <c r="AO88" s="323">
        <v>246231</v>
      </c>
      <c r="AP88" s="323">
        <v>254485</v>
      </c>
      <c r="AQ88" s="323">
        <v>262739</v>
      </c>
      <c r="AR88" s="323">
        <v>270992</v>
      </c>
      <c r="AS88" s="323">
        <v>279246</v>
      </c>
      <c r="AT88" s="323">
        <v>287500</v>
      </c>
      <c r="AU88" s="323">
        <v>295754</v>
      </c>
      <c r="AV88" s="323">
        <v>304008</v>
      </c>
      <c r="AW88" s="323">
        <v>312262</v>
      </c>
      <c r="AX88" s="323">
        <v>320515</v>
      </c>
      <c r="AY88" s="323">
        <v>328769</v>
      </c>
      <c r="AZ88" s="323">
        <v>337023</v>
      </c>
      <c r="BA88" s="323">
        <v>345623</v>
      </c>
      <c r="BB88" s="323">
        <v>354223</v>
      </c>
      <c r="BC88" s="323">
        <v>362823</v>
      </c>
      <c r="BD88" s="323">
        <v>371423</v>
      </c>
      <c r="BE88" s="323">
        <v>380023</v>
      </c>
      <c r="BF88" s="323">
        <v>388624</v>
      </c>
      <c r="BG88" s="323">
        <v>397224</v>
      </c>
      <c r="BH88" s="323">
        <v>405824</v>
      </c>
      <c r="BI88" s="323">
        <v>414424</v>
      </c>
      <c r="BJ88" s="323">
        <v>423024</v>
      </c>
      <c r="BK88" s="323">
        <v>431624</v>
      </c>
      <c r="BL88" s="323">
        <v>440224</v>
      </c>
      <c r="BM88" s="323">
        <v>449271</v>
      </c>
      <c r="BN88" s="323">
        <v>458318</v>
      </c>
      <c r="BO88" s="323">
        <v>467365</v>
      </c>
      <c r="BP88" s="323">
        <v>476412</v>
      </c>
      <c r="BQ88" s="323">
        <v>485459</v>
      </c>
      <c r="BR88" s="323">
        <v>494506</v>
      </c>
      <c r="BS88" s="323">
        <v>503553</v>
      </c>
      <c r="BT88" s="323">
        <v>512600</v>
      </c>
      <c r="BU88" s="323">
        <v>521647</v>
      </c>
      <c r="BV88" s="323">
        <v>530694</v>
      </c>
      <c r="BW88" s="323">
        <v>539741</v>
      </c>
      <c r="BX88" s="323">
        <v>548788</v>
      </c>
      <c r="BY88" s="323">
        <v>558305</v>
      </c>
      <c r="BZ88" s="323">
        <v>567822</v>
      </c>
      <c r="CA88" s="323">
        <v>577339</v>
      </c>
      <c r="CB88" s="323">
        <v>586856</v>
      </c>
      <c r="CC88" s="323">
        <v>596373</v>
      </c>
      <c r="CD88" s="323">
        <v>605890</v>
      </c>
      <c r="CE88" s="323">
        <v>615407</v>
      </c>
      <c r="CF88" s="323">
        <v>624924</v>
      </c>
      <c r="CG88" s="323">
        <v>634441</v>
      </c>
      <c r="CH88" s="323">
        <v>643958</v>
      </c>
      <c r="CI88" s="323">
        <v>653475</v>
      </c>
      <c r="CJ88" s="323">
        <v>662992</v>
      </c>
      <c r="CK88" s="323">
        <v>673003</v>
      </c>
      <c r="CL88" s="323">
        <v>683015</v>
      </c>
      <c r="CM88" s="323">
        <v>693026</v>
      </c>
      <c r="CN88" s="323">
        <v>703037</v>
      </c>
      <c r="CO88" s="323">
        <v>713049</v>
      </c>
      <c r="CP88" s="323">
        <v>723060</v>
      </c>
      <c r="CQ88" s="323">
        <v>733071</v>
      </c>
      <c r="CR88" s="323">
        <v>743083</v>
      </c>
      <c r="CS88" s="323">
        <v>753094</v>
      </c>
      <c r="CT88" s="323">
        <v>763105</v>
      </c>
      <c r="CU88" s="323">
        <v>773117</v>
      </c>
      <c r="CV88" s="324">
        <v>783128</v>
      </c>
    </row>
    <row r="89" spans="1:100" s="5" customFormat="1" ht="13.8" outlineLevel="1" x14ac:dyDescent="0.3">
      <c r="A89" s="333" t="s">
        <v>749</v>
      </c>
      <c r="B89" s="242" t="s">
        <v>677</v>
      </c>
      <c r="C89" s="255">
        <v>999</v>
      </c>
      <c r="D89" s="256">
        <v>1</v>
      </c>
      <c r="E89" s="323">
        <v>7825</v>
      </c>
      <c r="F89" s="323">
        <v>15650</v>
      </c>
      <c r="G89" s="323">
        <v>23475</v>
      </c>
      <c r="H89" s="323">
        <v>31300</v>
      </c>
      <c r="I89" s="323">
        <v>39125</v>
      </c>
      <c r="J89" s="323">
        <v>46951</v>
      </c>
      <c r="K89" s="323">
        <v>54776</v>
      </c>
      <c r="L89" s="323">
        <v>62601</v>
      </c>
      <c r="M89" s="323">
        <v>70426</v>
      </c>
      <c r="N89" s="323">
        <v>78251</v>
      </c>
      <c r="O89" s="323">
        <v>86076</v>
      </c>
      <c r="P89" s="323">
        <v>101726</v>
      </c>
      <c r="Q89" s="323">
        <v>110644</v>
      </c>
      <c r="R89" s="323">
        <v>119562</v>
      </c>
      <c r="S89" s="323">
        <v>128480</v>
      </c>
      <c r="T89" s="323">
        <v>137398</v>
      </c>
      <c r="U89" s="323">
        <v>146316</v>
      </c>
      <c r="V89" s="323">
        <v>155235</v>
      </c>
      <c r="W89" s="323">
        <v>164153</v>
      </c>
      <c r="X89" s="323">
        <v>173071</v>
      </c>
      <c r="Y89" s="323">
        <v>181989</v>
      </c>
      <c r="Z89" s="323">
        <v>190907</v>
      </c>
      <c r="AA89" s="323">
        <v>199825</v>
      </c>
      <c r="AB89" s="323">
        <v>208743</v>
      </c>
      <c r="AC89" s="323">
        <v>218125</v>
      </c>
      <c r="AD89" s="323">
        <v>227507</v>
      </c>
      <c r="AE89" s="323">
        <v>236889</v>
      </c>
      <c r="AF89" s="323">
        <v>246271</v>
      </c>
      <c r="AG89" s="323">
        <v>255653</v>
      </c>
      <c r="AH89" s="323">
        <v>265035</v>
      </c>
      <c r="AI89" s="323">
        <v>274416</v>
      </c>
      <c r="AJ89" s="323">
        <v>283798</v>
      </c>
      <c r="AK89" s="323">
        <v>293180</v>
      </c>
      <c r="AL89" s="323">
        <v>302562</v>
      </c>
      <c r="AM89" s="323">
        <v>311944</v>
      </c>
      <c r="AN89" s="323">
        <v>321326</v>
      </c>
      <c r="AO89" s="323">
        <v>331196</v>
      </c>
      <c r="AP89" s="323">
        <v>341065</v>
      </c>
      <c r="AQ89" s="323">
        <v>350935</v>
      </c>
      <c r="AR89" s="323">
        <v>360804</v>
      </c>
      <c r="AS89" s="323">
        <v>370674</v>
      </c>
      <c r="AT89" s="323">
        <v>380544</v>
      </c>
      <c r="AU89" s="323">
        <v>390413</v>
      </c>
      <c r="AV89" s="323">
        <v>400283</v>
      </c>
      <c r="AW89" s="323">
        <v>410152</v>
      </c>
      <c r="AX89" s="323">
        <v>420022</v>
      </c>
      <c r="AY89" s="323">
        <v>429891</v>
      </c>
      <c r="AZ89" s="323">
        <v>439761</v>
      </c>
      <c r="BA89" s="323">
        <v>450144</v>
      </c>
      <c r="BB89" s="323">
        <v>460526</v>
      </c>
      <c r="BC89" s="323">
        <v>470909</v>
      </c>
      <c r="BD89" s="323">
        <v>481292</v>
      </c>
      <c r="BE89" s="323">
        <v>491674</v>
      </c>
      <c r="BF89" s="323">
        <v>502057</v>
      </c>
      <c r="BG89" s="323">
        <v>512440</v>
      </c>
      <c r="BH89" s="323">
        <v>522822</v>
      </c>
      <c r="BI89" s="323">
        <v>533205</v>
      </c>
      <c r="BJ89" s="323">
        <v>543588</v>
      </c>
      <c r="BK89" s="323">
        <v>553970</v>
      </c>
      <c r="BL89" s="323">
        <v>564353</v>
      </c>
      <c r="BM89" s="323">
        <v>575275</v>
      </c>
      <c r="BN89" s="323">
        <v>586197</v>
      </c>
      <c r="BO89" s="323">
        <v>597120</v>
      </c>
      <c r="BP89" s="323">
        <v>608042</v>
      </c>
      <c r="BQ89" s="323">
        <v>618964</v>
      </c>
      <c r="BR89" s="323">
        <v>629886</v>
      </c>
      <c r="BS89" s="323">
        <v>640808</v>
      </c>
      <c r="BT89" s="323">
        <v>651730</v>
      </c>
      <c r="BU89" s="323">
        <v>662653</v>
      </c>
      <c r="BV89" s="323">
        <v>673575</v>
      </c>
      <c r="BW89" s="323">
        <v>684497</v>
      </c>
      <c r="BX89" s="323">
        <v>695419</v>
      </c>
      <c r="BY89" s="323">
        <v>706909</v>
      </c>
      <c r="BZ89" s="323">
        <v>718398</v>
      </c>
      <c r="CA89" s="323">
        <v>729888</v>
      </c>
      <c r="CB89" s="323">
        <v>741377</v>
      </c>
      <c r="CC89" s="323">
        <v>752867</v>
      </c>
      <c r="CD89" s="323">
        <v>764356</v>
      </c>
      <c r="CE89" s="323">
        <v>775846</v>
      </c>
      <c r="CF89" s="323">
        <v>787335</v>
      </c>
      <c r="CG89" s="323">
        <v>798825</v>
      </c>
      <c r="CH89" s="323">
        <v>810314</v>
      </c>
      <c r="CI89" s="323">
        <v>821804</v>
      </c>
      <c r="CJ89" s="323">
        <v>833293</v>
      </c>
      <c r="CK89" s="323">
        <v>845379</v>
      </c>
      <c r="CL89" s="323">
        <v>857466</v>
      </c>
      <c r="CM89" s="323">
        <v>869552</v>
      </c>
      <c r="CN89" s="323">
        <v>881638</v>
      </c>
      <c r="CO89" s="323">
        <v>893725</v>
      </c>
      <c r="CP89" s="323">
        <v>905811</v>
      </c>
      <c r="CQ89" s="323">
        <v>917897</v>
      </c>
      <c r="CR89" s="323">
        <v>929984</v>
      </c>
      <c r="CS89" s="323">
        <v>942070</v>
      </c>
      <c r="CT89" s="323">
        <v>954156</v>
      </c>
      <c r="CU89" s="323">
        <v>966243</v>
      </c>
      <c r="CV89" s="324">
        <v>978329</v>
      </c>
    </row>
    <row r="90" spans="1:100" s="5" customFormat="1" ht="13.8" outlineLevel="1" x14ac:dyDescent="0.3">
      <c r="A90" s="333" t="s">
        <v>752</v>
      </c>
      <c r="B90" s="242" t="s">
        <v>677</v>
      </c>
      <c r="C90" s="255">
        <v>999</v>
      </c>
      <c r="D90" s="256">
        <v>1</v>
      </c>
      <c r="E90" s="323">
        <v>8491</v>
      </c>
      <c r="F90" s="323">
        <v>16983</v>
      </c>
      <c r="G90" s="323">
        <v>25474</v>
      </c>
      <c r="H90" s="323">
        <v>33965</v>
      </c>
      <c r="I90" s="323">
        <v>42456</v>
      </c>
      <c r="J90" s="323">
        <v>50948</v>
      </c>
      <c r="K90" s="323">
        <v>59439</v>
      </c>
      <c r="L90" s="323">
        <v>67930</v>
      </c>
      <c r="M90" s="323">
        <v>76421</v>
      </c>
      <c r="N90" s="323">
        <v>84913</v>
      </c>
      <c r="O90" s="323">
        <v>93404</v>
      </c>
      <c r="P90" s="323">
        <v>110386</v>
      </c>
      <c r="Q90" s="323">
        <v>120063</v>
      </c>
      <c r="R90" s="323">
        <v>129741</v>
      </c>
      <c r="S90" s="323">
        <v>139418</v>
      </c>
      <c r="T90" s="323">
        <v>149096</v>
      </c>
      <c r="U90" s="323">
        <v>158773</v>
      </c>
      <c r="V90" s="323">
        <v>168451</v>
      </c>
      <c r="W90" s="323">
        <v>178128</v>
      </c>
      <c r="X90" s="323">
        <v>187805</v>
      </c>
      <c r="Y90" s="323">
        <v>197483</v>
      </c>
      <c r="Z90" s="323">
        <v>207160</v>
      </c>
      <c r="AA90" s="323">
        <v>216838</v>
      </c>
      <c r="AB90" s="323">
        <v>226515</v>
      </c>
      <c r="AC90" s="323">
        <v>236696</v>
      </c>
      <c r="AD90" s="323">
        <v>246876</v>
      </c>
      <c r="AE90" s="323">
        <v>257057</v>
      </c>
      <c r="AF90" s="323">
        <v>267237</v>
      </c>
      <c r="AG90" s="323">
        <v>277418</v>
      </c>
      <c r="AH90" s="323">
        <v>287599</v>
      </c>
      <c r="AI90" s="323">
        <v>297779</v>
      </c>
      <c r="AJ90" s="323">
        <v>307960</v>
      </c>
      <c r="AK90" s="323">
        <v>318140</v>
      </c>
      <c r="AL90" s="323">
        <v>328321</v>
      </c>
      <c r="AM90" s="323">
        <v>338501</v>
      </c>
      <c r="AN90" s="323">
        <v>348682</v>
      </c>
      <c r="AO90" s="323">
        <v>359392</v>
      </c>
      <c r="AP90" s="323">
        <v>370102</v>
      </c>
      <c r="AQ90" s="323">
        <v>380812</v>
      </c>
      <c r="AR90" s="323">
        <v>391521</v>
      </c>
      <c r="AS90" s="323">
        <v>402231</v>
      </c>
      <c r="AT90" s="323">
        <v>412941</v>
      </c>
      <c r="AU90" s="323">
        <v>423651</v>
      </c>
      <c r="AV90" s="323">
        <v>434361</v>
      </c>
      <c r="AW90" s="323">
        <v>445071</v>
      </c>
      <c r="AX90" s="323">
        <v>455780</v>
      </c>
      <c r="AY90" s="323">
        <v>466490</v>
      </c>
      <c r="AZ90" s="323">
        <v>477200</v>
      </c>
      <c r="BA90" s="323">
        <v>488467</v>
      </c>
      <c r="BB90" s="323">
        <v>499733</v>
      </c>
      <c r="BC90" s="323">
        <v>511000</v>
      </c>
      <c r="BD90" s="323">
        <v>522266</v>
      </c>
      <c r="BE90" s="323">
        <v>533533</v>
      </c>
      <c r="BF90" s="323">
        <v>544799</v>
      </c>
      <c r="BG90" s="323">
        <v>556066</v>
      </c>
      <c r="BH90" s="323">
        <v>567332</v>
      </c>
      <c r="BI90" s="323">
        <v>578599</v>
      </c>
      <c r="BJ90" s="323">
        <v>589865</v>
      </c>
      <c r="BK90" s="323">
        <v>601132</v>
      </c>
      <c r="BL90" s="323">
        <v>612398</v>
      </c>
      <c r="BM90" s="323">
        <v>624250</v>
      </c>
      <c r="BN90" s="323">
        <v>636102</v>
      </c>
      <c r="BO90" s="323">
        <v>647954</v>
      </c>
      <c r="BP90" s="323">
        <v>659806</v>
      </c>
      <c r="BQ90" s="323">
        <v>671658</v>
      </c>
      <c r="BR90" s="323">
        <v>683510</v>
      </c>
      <c r="BS90" s="323">
        <v>695362</v>
      </c>
      <c r="BT90" s="323">
        <v>707214</v>
      </c>
      <c r="BU90" s="323">
        <v>719066</v>
      </c>
      <c r="BV90" s="323">
        <v>730918</v>
      </c>
      <c r="BW90" s="323">
        <v>742770</v>
      </c>
      <c r="BX90" s="323">
        <v>754622</v>
      </c>
      <c r="BY90" s="323">
        <v>767090</v>
      </c>
      <c r="BZ90" s="323">
        <v>779557</v>
      </c>
      <c r="CA90" s="323">
        <v>792025</v>
      </c>
      <c r="CB90" s="323">
        <v>804493</v>
      </c>
      <c r="CC90" s="323">
        <v>816960</v>
      </c>
      <c r="CD90" s="323">
        <v>829428</v>
      </c>
      <c r="CE90" s="323">
        <v>841896</v>
      </c>
      <c r="CF90" s="323">
        <v>854363</v>
      </c>
      <c r="CG90" s="323">
        <v>866831</v>
      </c>
      <c r="CH90" s="323">
        <v>879299</v>
      </c>
      <c r="CI90" s="323">
        <v>891766</v>
      </c>
      <c r="CJ90" s="323">
        <v>904234</v>
      </c>
      <c r="CK90" s="323">
        <v>917349</v>
      </c>
      <c r="CL90" s="323">
        <v>930464</v>
      </c>
      <c r="CM90" s="323">
        <v>943580</v>
      </c>
      <c r="CN90" s="323">
        <v>956695</v>
      </c>
      <c r="CO90" s="323">
        <v>969810</v>
      </c>
      <c r="CP90" s="323">
        <v>982925</v>
      </c>
      <c r="CQ90" s="323">
        <v>996040</v>
      </c>
      <c r="CR90" s="323">
        <v>1009155</v>
      </c>
      <c r="CS90" s="323">
        <v>1022271</v>
      </c>
      <c r="CT90" s="323">
        <v>1035386</v>
      </c>
      <c r="CU90" s="323">
        <v>1048501</v>
      </c>
      <c r="CV90" s="324">
        <v>1061616</v>
      </c>
    </row>
    <row r="91" spans="1:100" s="5" customFormat="1" ht="13.8" outlineLevel="1" x14ac:dyDescent="0.3">
      <c r="A91" s="333" t="s">
        <v>753</v>
      </c>
      <c r="B91" s="242" t="s">
        <v>677</v>
      </c>
      <c r="C91" s="255">
        <v>999</v>
      </c>
      <c r="D91" s="256">
        <v>1</v>
      </c>
      <c r="E91" s="323">
        <v>7097</v>
      </c>
      <c r="F91" s="323">
        <v>14194</v>
      </c>
      <c r="G91" s="323">
        <v>21291</v>
      </c>
      <c r="H91" s="323">
        <v>28388</v>
      </c>
      <c r="I91" s="323">
        <v>35485</v>
      </c>
      <c r="J91" s="323">
        <v>42582</v>
      </c>
      <c r="K91" s="323">
        <v>49679</v>
      </c>
      <c r="L91" s="323">
        <v>56776</v>
      </c>
      <c r="M91" s="323">
        <v>63873</v>
      </c>
      <c r="N91" s="323">
        <v>70970</v>
      </c>
      <c r="O91" s="323">
        <v>78067</v>
      </c>
      <c r="P91" s="323">
        <v>92261</v>
      </c>
      <c r="Q91" s="323">
        <v>100349</v>
      </c>
      <c r="R91" s="323">
        <v>108438</v>
      </c>
      <c r="S91" s="323">
        <v>116526</v>
      </c>
      <c r="T91" s="323">
        <v>124614</v>
      </c>
      <c r="U91" s="323">
        <v>132702</v>
      </c>
      <c r="V91" s="323">
        <v>140791</v>
      </c>
      <c r="W91" s="323">
        <v>148879</v>
      </c>
      <c r="X91" s="323">
        <v>156967</v>
      </c>
      <c r="Y91" s="323">
        <v>165055</v>
      </c>
      <c r="Z91" s="323">
        <v>173144</v>
      </c>
      <c r="AA91" s="323">
        <v>181232</v>
      </c>
      <c r="AB91" s="323">
        <v>189320</v>
      </c>
      <c r="AC91" s="323">
        <v>197829</v>
      </c>
      <c r="AD91" s="323">
        <v>206338</v>
      </c>
      <c r="AE91" s="323">
        <v>214847</v>
      </c>
      <c r="AF91" s="323">
        <v>223356</v>
      </c>
      <c r="AG91" s="323">
        <v>231865</v>
      </c>
      <c r="AH91" s="323">
        <v>240374</v>
      </c>
      <c r="AI91" s="323">
        <v>248883</v>
      </c>
      <c r="AJ91" s="323">
        <v>257392</v>
      </c>
      <c r="AK91" s="323">
        <v>265901</v>
      </c>
      <c r="AL91" s="323">
        <v>274410</v>
      </c>
      <c r="AM91" s="323">
        <v>282919</v>
      </c>
      <c r="AN91" s="323">
        <v>291428</v>
      </c>
      <c r="AO91" s="323">
        <v>300379</v>
      </c>
      <c r="AP91" s="323">
        <v>309331</v>
      </c>
      <c r="AQ91" s="323">
        <v>318282</v>
      </c>
      <c r="AR91" s="323">
        <v>327233</v>
      </c>
      <c r="AS91" s="323">
        <v>336185</v>
      </c>
      <c r="AT91" s="323">
        <v>345136</v>
      </c>
      <c r="AU91" s="323">
        <v>354087</v>
      </c>
      <c r="AV91" s="323">
        <v>363039</v>
      </c>
      <c r="AW91" s="323">
        <v>371990</v>
      </c>
      <c r="AX91" s="323">
        <v>380941</v>
      </c>
      <c r="AY91" s="323">
        <v>389893</v>
      </c>
      <c r="AZ91" s="323">
        <v>398844</v>
      </c>
      <c r="BA91" s="323">
        <v>408261</v>
      </c>
      <c r="BB91" s="323">
        <v>417677</v>
      </c>
      <c r="BC91" s="323">
        <v>427094</v>
      </c>
      <c r="BD91" s="323">
        <v>436510</v>
      </c>
      <c r="BE91" s="323">
        <v>445927</v>
      </c>
      <c r="BF91" s="323">
        <v>455344</v>
      </c>
      <c r="BG91" s="323">
        <v>464760</v>
      </c>
      <c r="BH91" s="323">
        <v>474177</v>
      </c>
      <c r="BI91" s="323">
        <v>483593</v>
      </c>
      <c r="BJ91" s="323">
        <v>493010</v>
      </c>
      <c r="BK91" s="323">
        <v>502426</v>
      </c>
      <c r="BL91" s="323">
        <v>511843</v>
      </c>
      <c r="BM91" s="323">
        <v>521749</v>
      </c>
      <c r="BN91" s="323">
        <v>531655</v>
      </c>
      <c r="BO91" s="323">
        <v>541561</v>
      </c>
      <c r="BP91" s="323">
        <v>551467</v>
      </c>
      <c r="BQ91" s="323">
        <v>561373</v>
      </c>
      <c r="BR91" s="323">
        <v>571279</v>
      </c>
      <c r="BS91" s="323">
        <v>581184</v>
      </c>
      <c r="BT91" s="323">
        <v>591090</v>
      </c>
      <c r="BU91" s="323">
        <v>600996</v>
      </c>
      <c r="BV91" s="323">
        <v>610902</v>
      </c>
      <c r="BW91" s="323">
        <v>620808</v>
      </c>
      <c r="BX91" s="323">
        <v>630714</v>
      </c>
      <c r="BY91" s="323">
        <v>641135</v>
      </c>
      <c r="BZ91" s="323">
        <v>651555</v>
      </c>
      <c r="CA91" s="323">
        <v>661976</v>
      </c>
      <c r="CB91" s="323">
        <v>672396</v>
      </c>
      <c r="CC91" s="323">
        <v>682817</v>
      </c>
      <c r="CD91" s="323">
        <v>693237</v>
      </c>
      <c r="CE91" s="323">
        <v>703658</v>
      </c>
      <c r="CF91" s="323">
        <v>714078</v>
      </c>
      <c r="CG91" s="323">
        <v>724499</v>
      </c>
      <c r="CH91" s="323">
        <v>734919</v>
      </c>
      <c r="CI91" s="323">
        <v>745340</v>
      </c>
      <c r="CJ91" s="323">
        <v>755760</v>
      </c>
      <c r="CK91" s="323">
        <v>766722</v>
      </c>
      <c r="CL91" s="323">
        <v>777684</v>
      </c>
      <c r="CM91" s="323">
        <v>788645</v>
      </c>
      <c r="CN91" s="323">
        <v>799607</v>
      </c>
      <c r="CO91" s="323">
        <v>810569</v>
      </c>
      <c r="CP91" s="323">
        <v>821531</v>
      </c>
      <c r="CQ91" s="323">
        <v>832492</v>
      </c>
      <c r="CR91" s="323">
        <v>843454</v>
      </c>
      <c r="CS91" s="323">
        <v>854416</v>
      </c>
      <c r="CT91" s="323">
        <v>865378</v>
      </c>
      <c r="CU91" s="323">
        <v>876339</v>
      </c>
      <c r="CV91" s="324">
        <v>887301</v>
      </c>
    </row>
    <row r="92" spans="1:100" s="5" customFormat="1" ht="13.8" outlineLevel="1" x14ac:dyDescent="0.3">
      <c r="A92" s="333" t="s">
        <v>678</v>
      </c>
      <c r="B92" s="105" t="s">
        <v>677</v>
      </c>
      <c r="C92" s="255">
        <v>999</v>
      </c>
      <c r="D92" s="256">
        <v>1</v>
      </c>
      <c r="E92" s="323">
        <v>5868</v>
      </c>
      <c r="F92" s="323">
        <v>11736</v>
      </c>
      <c r="G92" s="323">
        <v>17604</v>
      </c>
      <c r="H92" s="323">
        <v>23472</v>
      </c>
      <c r="I92" s="323">
        <v>29340</v>
      </c>
      <c r="J92" s="323">
        <v>35208</v>
      </c>
      <c r="K92" s="323">
        <v>41076</v>
      </c>
      <c r="L92" s="323">
        <v>46944</v>
      </c>
      <c r="M92" s="323">
        <v>52812</v>
      </c>
      <c r="N92" s="323">
        <v>58680</v>
      </c>
      <c r="O92" s="323">
        <v>64548</v>
      </c>
      <c r="P92" s="323">
        <v>76284</v>
      </c>
      <c r="Q92" s="323">
        <v>82972</v>
      </c>
      <c r="R92" s="323">
        <v>89659</v>
      </c>
      <c r="S92" s="323">
        <v>96347</v>
      </c>
      <c r="T92" s="323">
        <v>103035</v>
      </c>
      <c r="U92" s="323">
        <v>109722</v>
      </c>
      <c r="V92" s="323">
        <v>116410</v>
      </c>
      <c r="W92" s="323">
        <v>123098</v>
      </c>
      <c r="X92" s="323">
        <v>129785</v>
      </c>
      <c r="Y92" s="323">
        <v>136473</v>
      </c>
      <c r="Z92" s="323">
        <v>143161</v>
      </c>
      <c r="AA92" s="323">
        <v>149848</v>
      </c>
      <c r="AB92" s="323">
        <v>156536</v>
      </c>
      <c r="AC92" s="323">
        <v>163571</v>
      </c>
      <c r="AD92" s="323">
        <v>170607</v>
      </c>
      <c r="AE92" s="323">
        <v>177642</v>
      </c>
      <c r="AF92" s="323">
        <v>184678</v>
      </c>
      <c r="AG92" s="323">
        <v>191713</v>
      </c>
      <c r="AH92" s="323">
        <v>198749</v>
      </c>
      <c r="AI92" s="323">
        <v>205784</v>
      </c>
      <c r="AJ92" s="323">
        <v>212819</v>
      </c>
      <c r="AK92" s="323">
        <v>219855</v>
      </c>
      <c r="AL92" s="323">
        <v>226890</v>
      </c>
      <c r="AM92" s="323">
        <v>233926</v>
      </c>
      <c r="AN92" s="323">
        <v>240961</v>
      </c>
      <c r="AO92" s="323">
        <v>248362</v>
      </c>
      <c r="AP92" s="323">
        <v>255763</v>
      </c>
      <c r="AQ92" s="323">
        <v>263165</v>
      </c>
      <c r="AR92" s="323">
        <v>270566</v>
      </c>
      <c r="AS92" s="323">
        <v>277967</v>
      </c>
      <c r="AT92" s="323">
        <v>285368</v>
      </c>
      <c r="AU92" s="323">
        <v>292769</v>
      </c>
      <c r="AV92" s="323">
        <v>300170</v>
      </c>
      <c r="AW92" s="323">
        <v>307572</v>
      </c>
      <c r="AX92" s="323">
        <v>314973</v>
      </c>
      <c r="AY92" s="323">
        <v>322374</v>
      </c>
      <c r="AZ92" s="323">
        <v>329775</v>
      </c>
      <c r="BA92" s="323">
        <v>337561</v>
      </c>
      <c r="BB92" s="323">
        <v>345347</v>
      </c>
      <c r="BC92" s="323">
        <v>353133</v>
      </c>
      <c r="BD92" s="323">
        <v>360919</v>
      </c>
      <c r="BE92" s="323">
        <v>368705</v>
      </c>
      <c r="BF92" s="323">
        <v>376491</v>
      </c>
      <c r="BG92" s="323">
        <v>384276</v>
      </c>
      <c r="BH92" s="323">
        <v>392062</v>
      </c>
      <c r="BI92" s="323">
        <v>399848</v>
      </c>
      <c r="BJ92" s="323">
        <v>407634</v>
      </c>
      <c r="BK92" s="323">
        <v>415420</v>
      </c>
      <c r="BL92" s="323">
        <v>423206</v>
      </c>
      <c r="BM92" s="323">
        <v>431396</v>
      </c>
      <c r="BN92" s="323">
        <v>439587</v>
      </c>
      <c r="BO92" s="323">
        <v>447777</v>
      </c>
      <c r="BP92" s="323">
        <v>455968</v>
      </c>
      <c r="BQ92" s="323">
        <v>464158</v>
      </c>
      <c r="BR92" s="323">
        <v>472349</v>
      </c>
      <c r="BS92" s="323">
        <v>480539</v>
      </c>
      <c r="BT92" s="323">
        <v>488729</v>
      </c>
      <c r="BU92" s="323">
        <v>496920</v>
      </c>
      <c r="BV92" s="323">
        <v>505110</v>
      </c>
      <c r="BW92" s="323">
        <v>513301</v>
      </c>
      <c r="BX92" s="323">
        <v>521491</v>
      </c>
      <c r="BY92" s="323">
        <v>530107</v>
      </c>
      <c r="BZ92" s="323">
        <v>538723</v>
      </c>
      <c r="CA92" s="323">
        <v>547339</v>
      </c>
      <c r="CB92" s="323">
        <v>555955</v>
      </c>
      <c r="CC92" s="323">
        <v>564571</v>
      </c>
      <c r="CD92" s="323">
        <v>573187</v>
      </c>
      <c r="CE92" s="323">
        <v>581802</v>
      </c>
      <c r="CF92" s="323">
        <v>590418</v>
      </c>
      <c r="CG92" s="323">
        <v>599034</v>
      </c>
      <c r="CH92" s="323">
        <v>607650</v>
      </c>
      <c r="CI92" s="323">
        <v>616266</v>
      </c>
      <c r="CJ92" s="323">
        <v>624882</v>
      </c>
      <c r="CK92" s="323">
        <v>633946</v>
      </c>
      <c r="CL92" s="323">
        <v>643009</v>
      </c>
      <c r="CM92" s="323">
        <v>652073</v>
      </c>
      <c r="CN92" s="323">
        <v>661136</v>
      </c>
      <c r="CO92" s="323">
        <v>670200</v>
      </c>
      <c r="CP92" s="323">
        <v>679263</v>
      </c>
      <c r="CQ92" s="323">
        <v>688327</v>
      </c>
      <c r="CR92" s="323">
        <v>697390</v>
      </c>
      <c r="CS92" s="323">
        <v>706454</v>
      </c>
      <c r="CT92" s="323">
        <v>715517</v>
      </c>
      <c r="CU92" s="323">
        <v>724581</v>
      </c>
      <c r="CV92" s="324">
        <v>733644</v>
      </c>
    </row>
    <row r="93" spans="1:100" s="5" customFormat="1" ht="13.8" outlineLevel="1" x14ac:dyDescent="0.3">
      <c r="A93" s="333" t="s">
        <v>679</v>
      </c>
      <c r="B93" s="105" t="s">
        <v>677</v>
      </c>
      <c r="C93" s="255">
        <v>999</v>
      </c>
      <c r="D93" s="256">
        <v>1</v>
      </c>
      <c r="E93" s="323">
        <v>7019</v>
      </c>
      <c r="F93" s="323">
        <v>14038</v>
      </c>
      <c r="G93" s="323">
        <v>21057</v>
      </c>
      <c r="H93" s="323">
        <v>28076</v>
      </c>
      <c r="I93" s="323">
        <v>35095</v>
      </c>
      <c r="J93" s="323">
        <v>42115</v>
      </c>
      <c r="K93" s="323">
        <v>49134</v>
      </c>
      <c r="L93" s="323">
        <v>56153</v>
      </c>
      <c r="M93" s="323">
        <v>63172</v>
      </c>
      <c r="N93" s="323">
        <v>70191</v>
      </c>
      <c r="O93" s="323">
        <v>77210</v>
      </c>
      <c r="P93" s="323">
        <v>91248</v>
      </c>
      <c r="Q93" s="323">
        <v>99248</v>
      </c>
      <c r="R93" s="323">
        <v>107247</v>
      </c>
      <c r="S93" s="323">
        <v>115247</v>
      </c>
      <c r="T93" s="323">
        <v>123246</v>
      </c>
      <c r="U93" s="323">
        <v>131246</v>
      </c>
      <c r="V93" s="323">
        <v>139245</v>
      </c>
      <c r="W93" s="323">
        <v>147245</v>
      </c>
      <c r="X93" s="323">
        <v>155244</v>
      </c>
      <c r="Y93" s="323">
        <v>163244</v>
      </c>
      <c r="Z93" s="323">
        <v>171243</v>
      </c>
      <c r="AA93" s="323">
        <v>179243</v>
      </c>
      <c r="AB93" s="323">
        <v>187242</v>
      </c>
      <c r="AC93" s="323">
        <v>195658</v>
      </c>
      <c r="AD93" s="323">
        <v>204073</v>
      </c>
      <c r="AE93" s="323">
        <v>212489</v>
      </c>
      <c r="AF93" s="323">
        <v>220904</v>
      </c>
      <c r="AG93" s="323">
        <v>229320</v>
      </c>
      <c r="AH93" s="323">
        <v>237735</v>
      </c>
      <c r="AI93" s="323">
        <v>246151</v>
      </c>
      <c r="AJ93" s="323">
        <v>254566</v>
      </c>
      <c r="AK93" s="323">
        <v>262982</v>
      </c>
      <c r="AL93" s="323">
        <v>271397</v>
      </c>
      <c r="AM93" s="323">
        <v>279813</v>
      </c>
      <c r="AN93" s="323">
        <v>288228</v>
      </c>
      <c r="AO93" s="323">
        <v>297081</v>
      </c>
      <c r="AP93" s="323">
        <v>305934</v>
      </c>
      <c r="AQ93" s="323">
        <v>314787</v>
      </c>
      <c r="AR93" s="323">
        <v>323640</v>
      </c>
      <c r="AS93" s="323">
        <v>332493</v>
      </c>
      <c r="AT93" s="323">
        <v>341347</v>
      </c>
      <c r="AU93" s="323">
        <v>350200</v>
      </c>
      <c r="AV93" s="323">
        <v>359053</v>
      </c>
      <c r="AW93" s="323">
        <v>367906</v>
      </c>
      <c r="AX93" s="323">
        <v>376759</v>
      </c>
      <c r="AY93" s="323">
        <v>385612</v>
      </c>
      <c r="AZ93" s="323">
        <v>394465</v>
      </c>
      <c r="BA93" s="323">
        <v>403778</v>
      </c>
      <c r="BB93" s="323">
        <v>413091</v>
      </c>
      <c r="BC93" s="323">
        <v>422405</v>
      </c>
      <c r="BD93" s="323">
        <v>431718</v>
      </c>
      <c r="BE93" s="323">
        <v>441031</v>
      </c>
      <c r="BF93" s="323">
        <v>450344</v>
      </c>
      <c r="BG93" s="323">
        <v>459657</v>
      </c>
      <c r="BH93" s="323">
        <v>468970</v>
      </c>
      <c r="BI93" s="323">
        <v>478284</v>
      </c>
      <c r="BJ93" s="323">
        <v>487597</v>
      </c>
      <c r="BK93" s="323">
        <v>496910</v>
      </c>
      <c r="BL93" s="323">
        <v>506223</v>
      </c>
      <c r="BM93" s="323">
        <v>516020</v>
      </c>
      <c r="BN93" s="323">
        <v>525817</v>
      </c>
      <c r="BO93" s="323">
        <v>535614</v>
      </c>
      <c r="BP93" s="323">
        <v>545411</v>
      </c>
      <c r="BQ93" s="323">
        <v>555208</v>
      </c>
      <c r="BR93" s="323">
        <v>565006</v>
      </c>
      <c r="BS93" s="323">
        <v>574803</v>
      </c>
      <c r="BT93" s="323">
        <v>584600</v>
      </c>
      <c r="BU93" s="323">
        <v>594397</v>
      </c>
      <c r="BV93" s="323">
        <v>604194</v>
      </c>
      <c r="BW93" s="323">
        <v>613991</v>
      </c>
      <c r="BX93" s="323">
        <v>623788</v>
      </c>
      <c r="BY93" s="323">
        <v>634094</v>
      </c>
      <c r="BZ93" s="323">
        <v>644400</v>
      </c>
      <c r="CA93" s="323">
        <v>654706</v>
      </c>
      <c r="CB93" s="323">
        <v>665012</v>
      </c>
      <c r="CC93" s="323">
        <v>675318</v>
      </c>
      <c r="CD93" s="323">
        <v>685625</v>
      </c>
      <c r="CE93" s="323">
        <v>695931</v>
      </c>
      <c r="CF93" s="323">
        <v>706237</v>
      </c>
      <c r="CG93" s="323">
        <v>716543</v>
      </c>
      <c r="CH93" s="323">
        <v>726849</v>
      </c>
      <c r="CI93" s="323">
        <v>737155</v>
      </c>
      <c r="CJ93" s="323">
        <v>747461</v>
      </c>
      <c r="CK93" s="323">
        <v>758302</v>
      </c>
      <c r="CL93" s="323">
        <v>769144</v>
      </c>
      <c r="CM93" s="323">
        <v>779985</v>
      </c>
      <c r="CN93" s="323">
        <v>790827</v>
      </c>
      <c r="CO93" s="323">
        <v>801668</v>
      </c>
      <c r="CP93" s="323">
        <v>812510</v>
      </c>
      <c r="CQ93" s="323">
        <v>823351</v>
      </c>
      <c r="CR93" s="323">
        <v>834192</v>
      </c>
      <c r="CS93" s="323">
        <v>845034</v>
      </c>
      <c r="CT93" s="323">
        <v>855875</v>
      </c>
      <c r="CU93" s="323">
        <v>866717</v>
      </c>
      <c r="CV93" s="324">
        <v>877558</v>
      </c>
    </row>
    <row r="94" spans="1:100" s="5" customFormat="1" ht="13.8" outlineLevel="1" x14ac:dyDescent="0.3">
      <c r="A94" s="333" t="s">
        <v>680</v>
      </c>
      <c r="B94" s="105" t="s">
        <v>677</v>
      </c>
      <c r="C94" s="255">
        <v>999</v>
      </c>
      <c r="D94" s="256">
        <v>1</v>
      </c>
      <c r="E94" s="323">
        <v>8369</v>
      </c>
      <c r="F94" s="323">
        <v>16738</v>
      </c>
      <c r="G94" s="323">
        <v>25107</v>
      </c>
      <c r="H94" s="323">
        <v>33475</v>
      </c>
      <c r="I94" s="323">
        <v>41844</v>
      </c>
      <c r="J94" s="323">
        <v>50213</v>
      </c>
      <c r="K94" s="323">
        <v>58582</v>
      </c>
      <c r="L94" s="323">
        <v>66951</v>
      </c>
      <c r="M94" s="323">
        <v>75320</v>
      </c>
      <c r="N94" s="323">
        <v>83688</v>
      </c>
      <c r="O94" s="323">
        <v>92057</v>
      </c>
      <c r="P94" s="323">
        <v>108795</v>
      </c>
      <c r="Q94" s="323">
        <v>118333</v>
      </c>
      <c r="R94" s="323">
        <v>127871</v>
      </c>
      <c r="S94" s="323">
        <v>137409</v>
      </c>
      <c r="T94" s="323">
        <v>146946</v>
      </c>
      <c r="U94" s="323">
        <v>156484</v>
      </c>
      <c r="V94" s="323">
        <v>166022</v>
      </c>
      <c r="W94" s="323">
        <v>175560</v>
      </c>
      <c r="X94" s="323">
        <v>185098</v>
      </c>
      <c r="Y94" s="323">
        <v>194636</v>
      </c>
      <c r="Z94" s="323">
        <v>204173</v>
      </c>
      <c r="AA94" s="323">
        <v>213711</v>
      </c>
      <c r="AB94" s="323">
        <v>223249</v>
      </c>
      <c r="AC94" s="323">
        <v>233283</v>
      </c>
      <c r="AD94" s="323">
        <v>243317</v>
      </c>
      <c r="AE94" s="323">
        <v>253350</v>
      </c>
      <c r="AF94" s="323">
        <v>263384</v>
      </c>
      <c r="AG94" s="323">
        <v>273418</v>
      </c>
      <c r="AH94" s="323">
        <v>283452</v>
      </c>
      <c r="AI94" s="323">
        <v>293485</v>
      </c>
      <c r="AJ94" s="323">
        <v>303519</v>
      </c>
      <c r="AK94" s="323">
        <v>313553</v>
      </c>
      <c r="AL94" s="323">
        <v>323587</v>
      </c>
      <c r="AM94" s="323">
        <v>333620</v>
      </c>
      <c r="AN94" s="323">
        <v>343654</v>
      </c>
      <c r="AO94" s="323">
        <v>354210</v>
      </c>
      <c r="AP94" s="323">
        <v>364765</v>
      </c>
      <c r="AQ94" s="323">
        <v>375321</v>
      </c>
      <c r="AR94" s="323">
        <v>385876</v>
      </c>
      <c r="AS94" s="323">
        <v>396432</v>
      </c>
      <c r="AT94" s="323">
        <v>406987</v>
      </c>
      <c r="AU94" s="323">
        <v>417543</v>
      </c>
      <c r="AV94" s="323">
        <v>428098</v>
      </c>
      <c r="AW94" s="323">
        <v>438654</v>
      </c>
      <c r="AX94" s="323">
        <v>449209</v>
      </c>
      <c r="AY94" s="323">
        <v>459765</v>
      </c>
      <c r="AZ94" s="323">
        <v>470320</v>
      </c>
      <c r="BA94" s="323">
        <v>481424</v>
      </c>
      <c r="BB94" s="323">
        <v>492528</v>
      </c>
      <c r="BC94" s="323">
        <v>503632</v>
      </c>
      <c r="BD94" s="323">
        <v>514736</v>
      </c>
      <c r="BE94" s="323">
        <v>525840</v>
      </c>
      <c r="BF94" s="323">
        <v>536945</v>
      </c>
      <c r="BG94" s="323">
        <v>548049</v>
      </c>
      <c r="BH94" s="323">
        <v>559153</v>
      </c>
      <c r="BI94" s="323">
        <v>570257</v>
      </c>
      <c r="BJ94" s="323">
        <v>581361</v>
      </c>
      <c r="BK94" s="323">
        <v>592465</v>
      </c>
      <c r="BL94" s="323">
        <v>603569</v>
      </c>
      <c r="BM94" s="323">
        <v>615250</v>
      </c>
      <c r="BN94" s="323">
        <v>626931</v>
      </c>
      <c r="BO94" s="323">
        <v>638613</v>
      </c>
      <c r="BP94" s="323">
        <v>650294</v>
      </c>
      <c r="BQ94" s="323">
        <v>661975</v>
      </c>
      <c r="BR94" s="323">
        <v>673656</v>
      </c>
      <c r="BS94" s="323">
        <v>685337</v>
      </c>
      <c r="BT94" s="323">
        <v>697018</v>
      </c>
      <c r="BU94" s="323">
        <v>708700</v>
      </c>
      <c r="BV94" s="323">
        <v>720381</v>
      </c>
      <c r="BW94" s="323">
        <v>732062</v>
      </c>
      <c r="BX94" s="323">
        <v>743743</v>
      </c>
      <c r="BY94" s="323">
        <v>756031</v>
      </c>
      <c r="BZ94" s="323">
        <v>768319</v>
      </c>
      <c r="CA94" s="323">
        <v>780607</v>
      </c>
      <c r="CB94" s="323">
        <v>792895</v>
      </c>
      <c r="CC94" s="323">
        <v>805183</v>
      </c>
      <c r="CD94" s="323">
        <v>817471</v>
      </c>
      <c r="CE94" s="323">
        <v>829758</v>
      </c>
      <c r="CF94" s="323">
        <v>842046</v>
      </c>
      <c r="CG94" s="323">
        <v>854334</v>
      </c>
      <c r="CH94" s="323">
        <v>866622</v>
      </c>
      <c r="CI94" s="323">
        <v>878910</v>
      </c>
      <c r="CJ94" s="323">
        <v>891198</v>
      </c>
      <c r="CK94" s="323">
        <v>904124</v>
      </c>
      <c r="CL94" s="323">
        <v>917050</v>
      </c>
      <c r="CM94" s="323">
        <v>929977</v>
      </c>
      <c r="CN94" s="323">
        <v>942903</v>
      </c>
      <c r="CO94" s="323">
        <v>955829</v>
      </c>
      <c r="CP94" s="323">
        <v>968755</v>
      </c>
      <c r="CQ94" s="323">
        <v>981681</v>
      </c>
      <c r="CR94" s="323">
        <v>994607</v>
      </c>
      <c r="CS94" s="323">
        <v>1007534</v>
      </c>
      <c r="CT94" s="323">
        <v>1020460</v>
      </c>
      <c r="CU94" s="323">
        <v>1033386</v>
      </c>
      <c r="CV94" s="324">
        <v>1046312</v>
      </c>
    </row>
    <row r="95" spans="1:100" s="5" customFormat="1" ht="13.8" outlineLevel="1" x14ac:dyDescent="0.3">
      <c r="A95" s="333" t="s">
        <v>744</v>
      </c>
      <c r="B95" s="105" t="s">
        <v>677</v>
      </c>
      <c r="C95" s="255">
        <v>999</v>
      </c>
      <c r="D95" s="256">
        <v>1</v>
      </c>
      <c r="E95" s="323">
        <v>5921</v>
      </c>
      <c r="F95" s="323">
        <v>11841</v>
      </c>
      <c r="G95" s="323">
        <v>17762</v>
      </c>
      <c r="H95" s="323">
        <v>23682</v>
      </c>
      <c r="I95" s="323">
        <v>29603</v>
      </c>
      <c r="J95" s="323">
        <v>35523</v>
      </c>
      <c r="K95" s="323">
        <v>41444</v>
      </c>
      <c r="L95" s="323">
        <v>47364</v>
      </c>
      <c r="M95" s="323">
        <v>53285</v>
      </c>
      <c r="N95" s="323">
        <v>59205</v>
      </c>
      <c r="O95" s="323">
        <v>65126</v>
      </c>
      <c r="P95" s="323">
        <v>76966</v>
      </c>
      <c r="Q95" s="323">
        <v>83714</v>
      </c>
      <c r="R95" s="323">
        <v>90461</v>
      </c>
      <c r="S95" s="323">
        <v>97209</v>
      </c>
      <c r="T95" s="323">
        <v>103956</v>
      </c>
      <c r="U95" s="323">
        <v>110704</v>
      </c>
      <c r="V95" s="323">
        <v>117452</v>
      </c>
      <c r="W95" s="323">
        <v>124199</v>
      </c>
      <c r="X95" s="323">
        <v>130947</v>
      </c>
      <c r="Y95" s="323">
        <v>137694</v>
      </c>
      <c r="Z95" s="323">
        <v>144442</v>
      </c>
      <c r="AA95" s="323">
        <v>151189</v>
      </c>
      <c r="AB95" s="323">
        <v>157937</v>
      </c>
      <c r="AC95" s="323">
        <v>165035</v>
      </c>
      <c r="AD95" s="323">
        <v>172134</v>
      </c>
      <c r="AE95" s="323">
        <v>179232</v>
      </c>
      <c r="AF95" s="323">
        <v>186331</v>
      </c>
      <c r="AG95" s="323">
        <v>193429</v>
      </c>
      <c r="AH95" s="323">
        <v>200528</v>
      </c>
      <c r="AI95" s="323">
        <v>207626</v>
      </c>
      <c r="AJ95" s="323">
        <v>214724</v>
      </c>
      <c r="AK95" s="323">
        <v>221823</v>
      </c>
      <c r="AL95" s="323">
        <v>228921</v>
      </c>
      <c r="AM95" s="323">
        <v>236020</v>
      </c>
      <c r="AN95" s="323">
        <v>243118</v>
      </c>
      <c r="AO95" s="323">
        <v>250585</v>
      </c>
      <c r="AP95" s="323">
        <v>258053</v>
      </c>
      <c r="AQ95" s="323">
        <v>265520</v>
      </c>
      <c r="AR95" s="323">
        <v>272988</v>
      </c>
      <c r="AS95" s="323">
        <v>280455</v>
      </c>
      <c r="AT95" s="323">
        <v>287923</v>
      </c>
      <c r="AU95" s="323">
        <v>295390</v>
      </c>
      <c r="AV95" s="323">
        <v>302857</v>
      </c>
      <c r="AW95" s="323">
        <v>310325</v>
      </c>
      <c r="AX95" s="323">
        <v>317792</v>
      </c>
      <c r="AY95" s="323">
        <v>325260</v>
      </c>
      <c r="AZ95" s="323">
        <v>332727</v>
      </c>
      <c r="BA95" s="323">
        <v>340583</v>
      </c>
      <c r="BB95" s="323">
        <v>348438</v>
      </c>
      <c r="BC95" s="323">
        <v>356294</v>
      </c>
      <c r="BD95" s="323">
        <v>364149</v>
      </c>
      <c r="BE95" s="323">
        <v>372005</v>
      </c>
      <c r="BF95" s="323">
        <v>379861</v>
      </c>
      <c r="BG95" s="323">
        <v>387716</v>
      </c>
      <c r="BH95" s="323">
        <v>395572</v>
      </c>
      <c r="BI95" s="323">
        <v>403427</v>
      </c>
      <c r="BJ95" s="323">
        <v>411283</v>
      </c>
      <c r="BK95" s="323">
        <v>419138</v>
      </c>
      <c r="BL95" s="323">
        <v>426994</v>
      </c>
      <c r="BM95" s="323">
        <v>435258</v>
      </c>
      <c r="BN95" s="323">
        <v>443521</v>
      </c>
      <c r="BO95" s="323">
        <v>451785</v>
      </c>
      <c r="BP95" s="323">
        <v>460049</v>
      </c>
      <c r="BQ95" s="323">
        <v>468312</v>
      </c>
      <c r="BR95" s="323">
        <v>476576</v>
      </c>
      <c r="BS95" s="323">
        <v>484840</v>
      </c>
      <c r="BT95" s="323">
        <v>493103</v>
      </c>
      <c r="BU95" s="323">
        <v>501367</v>
      </c>
      <c r="BV95" s="323">
        <v>509631</v>
      </c>
      <c r="BW95" s="323">
        <v>517894</v>
      </c>
      <c r="BX95" s="323">
        <v>526158</v>
      </c>
      <c r="BY95" s="323">
        <v>534851</v>
      </c>
      <c r="BZ95" s="323">
        <v>543544</v>
      </c>
      <c r="CA95" s="323">
        <v>552237</v>
      </c>
      <c r="CB95" s="323">
        <v>560930</v>
      </c>
      <c r="CC95" s="323">
        <v>569623</v>
      </c>
      <c r="CD95" s="323">
        <v>578317</v>
      </c>
      <c r="CE95" s="323">
        <v>587010</v>
      </c>
      <c r="CF95" s="323">
        <v>595703</v>
      </c>
      <c r="CG95" s="323">
        <v>604396</v>
      </c>
      <c r="CH95" s="323">
        <v>613089</v>
      </c>
      <c r="CI95" s="323">
        <v>621782</v>
      </c>
      <c r="CJ95" s="323">
        <v>630475</v>
      </c>
      <c r="CK95" s="323">
        <v>639620</v>
      </c>
      <c r="CL95" s="323">
        <v>648764</v>
      </c>
      <c r="CM95" s="323">
        <v>657909</v>
      </c>
      <c r="CN95" s="323">
        <v>667053</v>
      </c>
      <c r="CO95" s="323">
        <v>676198</v>
      </c>
      <c r="CP95" s="323">
        <v>685342</v>
      </c>
      <c r="CQ95" s="323">
        <v>694487</v>
      </c>
      <c r="CR95" s="323">
        <v>703631</v>
      </c>
      <c r="CS95" s="323">
        <v>712776</v>
      </c>
      <c r="CT95" s="323">
        <v>721920</v>
      </c>
      <c r="CU95" s="323">
        <v>731065</v>
      </c>
      <c r="CV95" s="324">
        <v>740209</v>
      </c>
    </row>
    <row r="96" spans="1:100" s="5" customFormat="1" ht="13.8" outlineLevel="1" x14ac:dyDescent="0.3">
      <c r="A96" s="333" t="s">
        <v>745</v>
      </c>
      <c r="B96" s="105" t="s">
        <v>677</v>
      </c>
      <c r="C96" s="255">
        <v>999</v>
      </c>
      <c r="D96" s="256">
        <v>1</v>
      </c>
      <c r="E96" s="323">
        <v>7097</v>
      </c>
      <c r="F96" s="323">
        <v>14194</v>
      </c>
      <c r="G96" s="323">
        <v>21291</v>
      </c>
      <c r="H96" s="323">
        <v>28388</v>
      </c>
      <c r="I96" s="323">
        <v>35485</v>
      </c>
      <c r="J96" s="323">
        <v>42582</v>
      </c>
      <c r="K96" s="323">
        <v>49679</v>
      </c>
      <c r="L96" s="323">
        <v>56776</v>
      </c>
      <c r="M96" s="323">
        <v>63873</v>
      </c>
      <c r="N96" s="323">
        <v>70970</v>
      </c>
      <c r="O96" s="323">
        <v>78067</v>
      </c>
      <c r="P96" s="323">
        <v>92261</v>
      </c>
      <c r="Q96" s="323">
        <v>100349</v>
      </c>
      <c r="R96" s="323">
        <v>108438</v>
      </c>
      <c r="S96" s="323">
        <v>116526</v>
      </c>
      <c r="T96" s="323">
        <v>124614</v>
      </c>
      <c r="U96" s="323">
        <v>132702</v>
      </c>
      <c r="V96" s="323">
        <v>140791</v>
      </c>
      <c r="W96" s="323">
        <v>148879</v>
      </c>
      <c r="X96" s="323">
        <v>156967</v>
      </c>
      <c r="Y96" s="323">
        <v>165055</v>
      </c>
      <c r="Z96" s="323">
        <v>173144</v>
      </c>
      <c r="AA96" s="323">
        <v>181232</v>
      </c>
      <c r="AB96" s="323">
        <v>189320</v>
      </c>
      <c r="AC96" s="323">
        <v>197829</v>
      </c>
      <c r="AD96" s="323">
        <v>206338</v>
      </c>
      <c r="AE96" s="323">
        <v>214847</v>
      </c>
      <c r="AF96" s="323">
        <v>223356</v>
      </c>
      <c r="AG96" s="323">
        <v>231865</v>
      </c>
      <c r="AH96" s="323">
        <v>240374</v>
      </c>
      <c r="AI96" s="323">
        <v>248883</v>
      </c>
      <c r="AJ96" s="323">
        <v>257392</v>
      </c>
      <c r="AK96" s="323">
        <v>265901</v>
      </c>
      <c r="AL96" s="323">
        <v>274410</v>
      </c>
      <c r="AM96" s="323">
        <v>282919</v>
      </c>
      <c r="AN96" s="323">
        <v>291428</v>
      </c>
      <c r="AO96" s="323">
        <v>300379</v>
      </c>
      <c r="AP96" s="323">
        <v>309331</v>
      </c>
      <c r="AQ96" s="323">
        <v>318282</v>
      </c>
      <c r="AR96" s="323">
        <v>327233</v>
      </c>
      <c r="AS96" s="323">
        <v>336185</v>
      </c>
      <c r="AT96" s="323">
        <v>345136</v>
      </c>
      <c r="AU96" s="323">
        <v>354087</v>
      </c>
      <c r="AV96" s="323">
        <v>363039</v>
      </c>
      <c r="AW96" s="323">
        <v>371990</v>
      </c>
      <c r="AX96" s="323">
        <v>380941</v>
      </c>
      <c r="AY96" s="323">
        <v>389893</v>
      </c>
      <c r="AZ96" s="323">
        <v>398844</v>
      </c>
      <c r="BA96" s="323">
        <v>408261</v>
      </c>
      <c r="BB96" s="323">
        <v>417677</v>
      </c>
      <c r="BC96" s="323">
        <v>427094</v>
      </c>
      <c r="BD96" s="323">
        <v>436510</v>
      </c>
      <c r="BE96" s="323">
        <v>445927</v>
      </c>
      <c r="BF96" s="323">
        <v>455344</v>
      </c>
      <c r="BG96" s="323">
        <v>464760</v>
      </c>
      <c r="BH96" s="323">
        <v>474177</v>
      </c>
      <c r="BI96" s="323">
        <v>483593</v>
      </c>
      <c r="BJ96" s="323">
        <v>493010</v>
      </c>
      <c r="BK96" s="323">
        <v>502426</v>
      </c>
      <c r="BL96" s="323">
        <v>511843</v>
      </c>
      <c r="BM96" s="323">
        <v>521749</v>
      </c>
      <c r="BN96" s="323">
        <v>531655</v>
      </c>
      <c r="BO96" s="323">
        <v>541561</v>
      </c>
      <c r="BP96" s="323">
        <v>551467</v>
      </c>
      <c r="BQ96" s="323">
        <v>561373</v>
      </c>
      <c r="BR96" s="323">
        <v>571279</v>
      </c>
      <c r="BS96" s="323">
        <v>581184</v>
      </c>
      <c r="BT96" s="323">
        <v>591090</v>
      </c>
      <c r="BU96" s="323">
        <v>600996</v>
      </c>
      <c r="BV96" s="323">
        <v>610902</v>
      </c>
      <c r="BW96" s="323">
        <v>620808</v>
      </c>
      <c r="BX96" s="323">
        <v>630714</v>
      </c>
      <c r="BY96" s="323">
        <v>641135</v>
      </c>
      <c r="BZ96" s="323">
        <v>651555</v>
      </c>
      <c r="CA96" s="323">
        <v>661976</v>
      </c>
      <c r="CB96" s="323">
        <v>672396</v>
      </c>
      <c r="CC96" s="323">
        <v>682817</v>
      </c>
      <c r="CD96" s="323">
        <v>693237</v>
      </c>
      <c r="CE96" s="323">
        <v>703658</v>
      </c>
      <c r="CF96" s="323">
        <v>714078</v>
      </c>
      <c r="CG96" s="323">
        <v>724499</v>
      </c>
      <c r="CH96" s="323">
        <v>734919</v>
      </c>
      <c r="CI96" s="323">
        <v>745340</v>
      </c>
      <c r="CJ96" s="323">
        <v>755760</v>
      </c>
      <c r="CK96" s="323">
        <v>766722</v>
      </c>
      <c r="CL96" s="323">
        <v>777684</v>
      </c>
      <c r="CM96" s="323">
        <v>788645</v>
      </c>
      <c r="CN96" s="323">
        <v>799607</v>
      </c>
      <c r="CO96" s="323">
        <v>810569</v>
      </c>
      <c r="CP96" s="323">
        <v>821531</v>
      </c>
      <c r="CQ96" s="323">
        <v>832492</v>
      </c>
      <c r="CR96" s="323">
        <v>843454</v>
      </c>
      <c r="CS96" s="323">
        <v>854416</v>
      </c>
      <c r="CT96" s="323">
        <v>865378</v>
      </c>
      <c r="CU96" s="323">
        <v>876339</v>
      </c>
      <c r="CV96" s="324">
        <v>887301</v>
      </c>
    </row>
    <row r="97" spans="1:100" s="5" customFormat="1" ht="13.8" outlineLevel="1" x14ac:dyDescent="0.3">
      <c r="A97" s="241" t="s">
        <v>746</v>
      </c>
      <c r="B97" s="105" t="s">
        <v>677</v>
      </c>
      <c r="C97" s="255">
        <v>999</v>
      </c>
      <c r="D97" s="256">
        <v>1</v>
      </c>
      <c r="E97" s="323">
        <v>8491</v>
      </c>
      <c r="F97" s="323">
        <v>16983</v>
      </c>
      <c r="G97" s="323">
        <v>25474</v>
      </c>
      <c r="H97" s="323">
        <v>33965</v>
      </c>
      <c r="I97" s="323">
        <v>42456</v>
      </c>
      <c r="J97" s="323">
        <v>50948</v>
      </c>
      <c r="K97" s="323">
        <v>59439</v>
      </c>
      <c r="L97" s="323">
        <v>67930</v>
      </c>
      <c r="M97" s="323">
        <v>76421</v>
      </c>
      <c r="N97" s="323">
        <v>84913</v>
      </c>
      <c r="O97" s="323">
        <v>93404</v>
      </c>
      <c r="P97" s="323">
        <v>110386</v>
      </c>
      <c r="Q97" s="323">
        <v>120063</v>
      </c>
      <c r="R97" s="323">
        <v>129741</v>
      </c>
      <c r="S97" s="323">
        <v>139418</v>
      </c>
      <c r="T97" s="323">
        <v>149096</v>
      </c>
      <c r="U97" s="323">
        <v>158773</v>
      </c>
      <c r="V97" s="323">
        <v>168451</v>
      </c>
      <c r="W97" s="323">
        <v>178128</v>
      </c>
      <c r="X97" s="323">
        <v>187805</v>
      </c>
      <c r="Y97" s="323">
        <v>197483</v>
      </c>
      <c r="Z97" s="323">
        <v>207160</v>
      </c>
      <c r="AA97" s="323">
        <v>216838</v>
      </c>
      <c r="AB97" s="323">
        <v>226515</v>
      </c>
      <c r="AC97" s="323">
        <v>236696</v>
      </c>
      <c r="AD97" s="323">
        <v>246876</v>
      </c>
      <c r="AE97" s="323">
        <v>257057</v>
      </c>
      <c r="AF97" s="323">
        <v>267237</v>
      </c>
      <c r="AG97" s="323">
        <v>277418</v>
      </c>
      <c r="AH97" s="323">
        <v>287599</v>
      </c>
      <c r="AI97" s="323">
        <v>297779</v>
      </c>
      <c r="AJ97" s="323">
        <v>307960</v>
      </c>
      <c r="AK97" s="323">
        <v>318140</v>
      </c>
      <c r="AL97" s="323">
        <v>328321</v>
      </c>
      <c r="AM97" s="323">
        <v>338501</v>
      </c>
      <c r="AN97" s="323">
        <v>348682</v>
      </c>
      <c r="AO97" s="323">
        <v>359392</v>
      </c>
      <c r="AP97" s="323">
        <v>370102</v>
      </c>
      <c r="AQ97" s="323">
        <v>380812</v>
      </c>
      <c r="AR97" s="323">
        <v>391521</v>
      </c>
      <c r="AS97" s="323">
        <v>402231</v>
      </c>
      <c r="AT97" s="323">
        <v>412941</v>
      </c>
      <c r="AU97" s="323">
        <v>423651</v>
      </c>
      <c r="AV97" s="323">
        <v>434361</v>
      </c>
      <c r="AW97" s="323">
        <v>445071</v>
      </c>
      <c r="AX97" s="323">
        <v>455780</v>
      </c>
      <c r="AY97" s="323">
        <v>466490</v>
      </c>
      <c r="AZ97" s="323">
        <v>477200</v>
      </c>
      <c r="BA97" s="323">
        <v>488467</v>
      </c>
      <c r="BB97" s="323">
        <v>499733</v>
      </c>
      <c r="BC97" s="323">
        <v>511000</v>
      </c>
      <c r="BD97" s="323">
        <v>522266</v>
      </c>
      <c r="BE97" s="323">
        <v>533533</v>
      </c>
      <c r="BF97" s="323">
        <v>544799</v>
      </c>
      <c r="BG97" s="323">
        <v>556066</v>
      </c>
      <c r="BH97" s="323">
        <v>567332</v>
      </c>
      <c r="BI97" s="323">
        <v>578599</v>
      </c>
      <c r="BJ97" s="323">
        <v>589865</v>
      </c>
      <c r="BK97" s="323">
        <v>601132</v>
      </c>
      <c r="BL97" s="323">
        <v>612398</v>
      </c>
      <c r="BM97" s="323">
        <v>624250</v>
      </c>
      <c r="BN97" s="323">
        <v>636102</v>
      </c>
      <c r="BO97" s="323">
        <v>647954</v>
      </c>
      <c r="BP97" s="323">
        <v>659806</v>
      </c>
      <c r="BQ97" s="323">
        <v>671658</v>
      </c>
      <c r="BR97" s="323">
        <v>683510</v>
      </c>
      <c r="BS97" s="323">
        <v>695362</v>
      </c>
      <c r="BT97" s="323">
        <v>707214</v>
      </c>
      <c r="BU97" s="323">
        <v>719066</v>
      </c>
      <c r="BV97" s="323">
        <v>730918</v>
      </c>
      <c r="BW97" s="323">
        <v>742770</v>
      </c>
      <c r="BX97" s="323">
        <v>754622</v>
      </c>
      <c r="BY97" s="323">
        <v>767090</v>
      </c>
      <c r="BZ97" s="323">
        <v>779557</v>
      </c>
      <c r="CA97" s="323">
        <v>792025</v>
      </c>
      <c r="CB97" s="323">
        <v>804493</v>
      </c>
      <c r="CC97" s="323">
        <v>816960</v>
      </c>
      <c r="CD97" s="323">
        <v>829428</v>
      </c>
      <c r="CE97" s="323">
        <v>841896</v>
      </c>
      <c r="CF97" s="323">
        <v>854363</v>
      </c>
      <c r="CG97" s="323">
        <v>866831</v>
      </c>
      <c r="CH97" s="323">
        <v>879299</v>
      </c>
      <c r="CI97" s="323">
        <v>891766</v>
      </c>
      <c r="CJ97" s="323">
        <v>904234</v>
      </c>
      <c r="CK97" s="323">
        <v>917349</v>
      </c>
      <c r="CL97" s="323">
        <v>930464</v>
      </c>
      <c r="CM97" s="323">
        <v>943580</v>
      </c>
      <c r="CN97" s="323">
        <v>956695</v>
      </c>
      <c r="CO97" s="323">
        <v>969810</v>
      </c>
      <c r="CP97" s="323">
        <v>982925</v>
      </c>
      <c r="CQ97" s="323">
        <v>996040</v>
      </c>
      <c r="CR97" s="323">
        <v>1009155</v>
      </c>
      <c r="CS97" s="323">
        <v>1022271</v>
      </c>
      <c r="CT97" s="323">
        <v>1035386</v>
      </c>
      <c r="CU97" s="323">
        <v>1048501</v>
      </c>
      <c r="CV97" s="324">
        <v>1061616</v>
      </c>
    </row>
    <row r="98" spans="1:100" s="5" customFormat="1" outlineLevel="1" x14ac:dyDescent="0.3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110"/>
      <c r="CV98" s="110"/>
    </row>
    <row r="99" spans="1:100" s="243" customFormat="1" outlineLevel="1" x14ac:dyDescent="0.3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110"/>
      <c r="CV99" s="110"/>
    </row>
    <row r="100" spans="1:100" s="243" customFormat="1" outlineLevel="1" x14ac:dyDescent="0.3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110"/>
      <c r="CV100" s="110"/>
    </row>
    <row r="101" spans="1:100" s="110" customFormat="1" outlineLevel="1" x14ac:dyDescent="0.3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</row>
    <row r="102" spans="1:100" s="110" customFormat="1" ht="18" x14ac:dyDescent="0.3">
      <c r="A102" s="58" t="s">
        <v>169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</row>
    <row r="103" spans="1:100" s="110" customFormat="1" x14ac:dyDescent="0.3">
      <c r="A103" s="240">
        <f>HOT_rates</f>
        <v>2026</v>
      </c>
      <c r="B103" s="239" t="str">
        <f>HOT_rate_type</f>
        <v>Cost Plus</v>
      </c>
      <c r="C103" s="21"/>
      <c r="D103" s="21"/>
      <c r="E103" s="214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</row>
    <row r="104" spans="1:100" s="110" customFormat="1" x14ac:dyDescent="0.3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</row>
    <row r="105" spans="1:100" s="110" customFormat="1" x14ac:dyDescent="0.3">
      <c r="A105" s="111"/>
      <c r="B105" s="112"/>
      <c r="C105" s="112"/>
      <c r="E105" s="21"/>
      <c r="F105" s="194"/>
      <c r="G105" s="193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</row>
    <row r="106" spans="1:100" s="110" customFormat="1" x14ac:dyDescent="0.3">
      <c r="A106" s="111"/>
      <c r="B106" s="112"/>
      <c r="C106" s="112"/>
      <c r="E106" s="21"/>
      <c r="F106" s="194"/>
      <c r="G106" s="195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</row>
    <row r="107" spans="1:100" s="110" customFormat="1" outlineLevel="1" x14ac:dyDescent="0.3">
      <c r="A107" s="111"/>
      <c r="B107" s="112"/>
      <c r="C107" s="112"/>
      <c r="E107" s="21"/>
      <c r="F107" s="194"/>
      <c r="G107" s="195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</row>
    <row r="108" spans="1:100" s="110" customFormat="1" outlineLevel="1" x14ac:dyDescent="0.3">
      <c r="A108" s="111"/>
      <c r="B108" s="112"/>
      <c r="C108" s="112"/>
      <c r="E108" s="21"/>
      <c r="F108" s="194"/>
      <c r="G108" s="195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</row>
    <row r="109" spans="1:100" s="110" customFormat="1" outlineLevel="1" x14ac:dyDescent="0.3">
      <c r="A109" s="111"/>
      <c r="B109" s="112"/>
      <c r="C109" s="112"/>
      <c r="E109" s="21"/>
      <c r="F109" s="194"/>
      <c r="G109" s="195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</row>
    <row r="110" spans="1:100" s="110" customFormat="1" outlineLevel="1" x14ac:dyDescent="0.3">
      <c r="A110" s="111"/>
      <c r="B110" s="112"/>
      <c r="C110" s="112"/>
      <c r="E110" s="21"/>
      <c r="F110" s="194"/>
      <c r="G110" s="195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</row>
    <row r="111" spans="1:100" s="110" customFormat="1" outlineLevel="1" x14ac:dyDescent="0.3">
      <c r="A111" s="111"/>
      <c r="B111" s="112"/>
      <c r="C111" s="112"/>
      <c r="E111" s="21"/>
      <c r="F111" s="194"/>
      <c r="G111" s="195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</row>
    <row r="112" spans="1:100" s="110" customFormat="1" outlineLevel="1" x14ac:dyDescent="0.3">
      <c r="A112" s="111"/>
      <c r="B112" s="112"/>
      <c r="C112" s="112"/>
      <c r="E112" s="21"/>
      <c r="F112" s="194"/>
      <c r="G112" s="195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</row>
    <row r="113" spans="1:99" s="110" customFormat="1" outlineLevel="1" x14ac:dyDescent="0.3">
      <c r="A113" s="111"/>
      <c r="B113" s="112"/>
      <c r="C113" s="112"/>
      <c r="E113" s="21"/>
      <c r="F113" s="194"/>
      <c r="G113" s="195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</row>
    <row r="114" spans="1:99" s="110" customFormat="1" outlineLevel="1" x14ac:dyDescent="0.3">
      <c r="A114" s="111"/>
      <c r="B114" s="112"/>
      <c r="C114" s="112"/>
      <c r="E114" s="21"/>
      <c r="F114" s="194"/>
      <c r="G114" s="195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</row>
    <row r="115" spans="1:99" s="110" customFormat="1" outlineLevel="1" x14ac:dyDescent="0.3">
      <c r="A115" s="111"/>
      <c r="B115" s="112"/>
      <c r="C115" s="112"/>
      <c r="E115" s="21"/>
      <c r="F115" s="194"/>
      <c r="G115" s="195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</row>
    <row r="116" spans="1:99" s="110" customFormat="1" outlineLevel="1" x14ac:dyDescent="0.3">
      <c r="A116" s="111"/>
      <c r="B116" s="112"/>
      <c r="C116" s="112"/>
      <c r="E116" s="21"/>
      <c r="F116" s="194"/>
      <c r="G116" s="195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</row>
    <row r="117" spans="1:99" s="110" customFormat="1" outlineLevel="1" x14ac:dyDescent="0.3">
      <c r="A117" s="111"/>
      <c r="B117" s="112"/>
      <c r="C117" s="112"/>
      <c r="E117" s="21"/>
      <c r="F117" s="194"/>
      <c r="G117" s="195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</row>
    <row r="118" spans="1:99" s="110" customFormat="1" outlineLevel="1" x14ac:dyDescent="0.3">
      <c r="A118" s="111"/>
      <c r="B118" s="112"/>
      <c r="C118" s="112"/>
      <c r="E118" s="21"/>
      <c r="F118" s="194"/>
      <c r="G118" s="195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</row>
    <row r="119" spans="1:99" s="110" customFormat="1" outlineLevel="1" x14ac:dyDescent="0.3">
      <c r="A119" s="111"/>
      <c r="B119" s="112"/>
      <c r="C119" s="112"/>
      <c r="E119" s="21"/>
      <c r="F119" s="194"/>
      <c r="G119" s="195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</row>
    <row r="120" spans="1:99" s="110" customFormat="1" outlineLevel="1" x14ac:dyDescent="0.3">
      <c r="A120" s="111"/>
      <c r="B120" s="112"/>
      <c r="C120" s="112"/>
      <c r="E120" s="21"/>
      <c r="F120" s="194"/>
      <c r="G120" s="195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</row>
    <row r="121" spans="1:99" s="110" customFormat="1" outlineLevel="1" x14ac:dyDescent="0.3">
      <c r="A121" s="111"/>
      <c r="B121" s="112"/>
      <c r="C121" s="112"/>
      <c r="E121" s="21"/>
      <c r="F121" s="194"/>
      <c r="G121" s="195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</row>
    <row r="122" spans="1:99" s="110" customFormat="1" outlineLevel="1" x14ac:dyDescent="0.3">
      <c r="A122" s="111"/>
      <c r="B122" s="112"/>
      <c r="C122" s="112"/>
      <c r="E122" s="21"/>
      <c r="F122" s="194"/>
      <c r="G122" s="195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</row>
    <row r="123" spans="1:99" s="110" customFormat="1" outlineLevel="1" x14ac:dyDescent="0.3">
      <c r="A123" s="20"/>
      <c r="B123" s="21"/>
      <c r="C123" s="21"/>
      <c r="D123" s="21"/>
      <c r="E123" s="194"/>
      <c r="F123" s="195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</row>
    <row r="124" spans="1:99" s="110" customFormat="1" outlineLevel="1" x14ac:dyDescent="0.3">
      <c r="A124" s="20"/>
      <c r="B124" s="21"/>
      <c r="C124" s="21"/>
      <c r="D124" s="21"/>
      <c r="E124" s="192"/>
      <c r="F124" s="193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</row>
    <row r="125" spans="1:99" s="110" customFormat="1" outlineLevel="1" x14ac:dyDescent="0.3">
      <c r="A125" s="20"/>
      <c r="B125" s="21"/>
      <c r="C125" s="21"/>
      <c r="D125" s="21"/>
      <c r="E125" s="192"/>
      <c r="F125" s="193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</row>
    <row r="126" spans="1:99" s="110" customFormat="1" outlineLevel="1" x14ac:dyDescent="0.3">
      <c r="A126" s="20"/>
      <c r="B126" s="21"/>
      <c r="C126" s="21"/>
      <c r="D126" s="21"/>
      <c r="E126" s="192"/>
      <c r="F126" s="193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</row>
    <row r="127" spans="1:99" s="110" customFormat="1" outlineLevel="1" x14ac:dyDescent="0.3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</row>
    <row r="128" spans="1:99" s="110" customFormat="1" outlineLevel="1" x14ac:dyDescent="0.3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</row>
    <row r="129" spans="1:98" s="110" customFormat="1" ht="18" outlineLevel="1" x14ac:dyDescent="0.3">
      <c r="A129" s="58" t="s">
        <v>183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</row>
    <row r="130" spans="1:98" s="110" customFormat="1" x14ac:dyDescent="0.3">
      <c r="A130" s="113" t="s">
        <v>184</v>
      </c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</row>
    <row r="131" spans="1:98" s="110" customFormat="1" x14ac:dyDescent="0.3">
      <c r="A131" s="114" t="s">
        <v>185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</row>
    <row r="132" spans="1:98" s="110" customFormat="1" x14ac:dyDescent="0.3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</row>
    <row r="133" spans="1:98" s="110" customFormat="1" outlineLevel="1" x14ac:dyDescent="0.3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</row>
    <row r="134" spans="1:98" s="110" customFormat="1" outlineLevel="1" x14ac:dyDescent="0.3">
      <c r="A134" s="115" t="s">
        <v>186</v>
      </c>
      <c r="B134" s="115" t="s">
        <v>154</v>
      </c>
      <c r="C134" s="115" t="s">
        <v>187</v>
      </c>
      <c r="D134" s="116" t="s">
        <v>188</v>
      </c>
      <c r="E134" s="115" t="s">
        <v>189</v>
      </c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</row>
    <row r="135" spans="1:98" s="110" customFormat="1" outlineLevel="1" x14ac:dyDescent="0.3">
      <c r="A135" s="110" t="s">
        <v>190</v>
      </c>
      <c r="B135" s="117" t="s">
        <v>191</v>
      </c>
      <c r="C135" s="117" t="str">
        <f t="shared" ref="C135:C166" si="0">A135&amp;" "&amp;B135&amp;" "&amp;"CCC: "&amp;D135</f>
        <v>AL Albania CCC: 0,538</v>
      </c>
      <c r="D135" s="118">
        <v>0.53800000000000003</v>
      </c>
      <c r="E135" s="110" t="s">
        <v>192</v>
      </c>
      <c r="F135" s="21"/>
      <c r="G135"/>
      <c r="H135" s="25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</row>
    <row r="136" spans="1:98" s="110" customFormat="1" outlineLevel="1" x14ac:dyDescent="0.3">
      <c r="A136" s="110" t="s">
        <v>193</v>
      </c>
      <c r="B136" s="117" t="s">
        <v>194</v>
      </c>
      <c r="C136" s="117" t="str">
        <f t="shared" si="0"/>
        <v>DZ Algeria CCC: 0,62</v>
      </c>
      <c r="D136" s="118">
        <v>0.62</v>
      </c>
      <c r="E136" s="110" t="s">
        <v>195</v>
      </c>
      <c r="F136" s="21"/>
      <c r="G136"/>
      <c r="H136" s="250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</row>
    <row r="137" spans="1:98" s="110" customFormat="1" outlineLevel="1" x14ac:dyDescent="0.3">
      <c r="A137" s="110" t="s">
        <v>196</v>
      </c>
      <c r="B137" s="117" t="s">
        <v>197</v>
      </c>
      <c r="C137" s="117" t="str">
        <f t="shared" si="0"/>
        <v>AO Angola CCC: 1,186</v>
      </c>
      <c r="D137" s="118">
        <v>1.1859999999999999</v>
      </c>
      <c r="E137" s="110" t="s">
        <v>195</v>
      </c>
      <c r="F137" s="21"/>
      <c r="G137"/>
      <c r="H137" s="25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</row>
    <row r="138" spans="1:98" s="110" customFormat="1" outlineLevel="1" x14ac:dyDescent="0.3">
      <c r="A138" s="110" t="s">
        <v>198</v>
      </c>
      <c r="B138" s="117" t="s">
        <v>199</v>
      </c>
      <c r="C138" s="117" t="str">
        <f t="shared" si="0"/>
        <v>AR Argentina CCC: 0,57</v>
      </c>
      <c r="D138" s="118">
        <v>0.56999999999999995</v>
      </c>
      <c r="E138" s="110" t="s">
        <v>195</v>
      </c>
      <c r="F138" s="21"/>
      <c r="G138" s="251"/>
      <c r="H138" s="252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</row>
    <row r="139" spans="1:98" s="110" customFormat="1" outlineLevel="1" x14ac:dyDescent="0.3">
      <c r="A139" s="110" t="s">
        <v>200</v>
      </c>
      <c r="B139" s="117" t="s">
        <v>201</v>
      </c>
      <c r="C139" s="117" t="str">
        <f t="shared" si="0"/>
        <v>AM Armenia CCC: 0,709</v>
      </c>
      <c r="D139" s="118">
        <v>0.70899999999999996</v>
      </c>
      <c r="E139" s="110" t="s">
        <v>192</v>
      </c>
      <c r="F139" s="21"/>
      <c r="G139" s="251"/>
      <c r="H139" s="252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</row>
    <row r="140" spans="1:98" s="110" customFormat="1" outlineLevel="1" x14ac:dyDescent="0.3">
      <c r="A140" s="110" t="s">
        <v>202</v>
      </c>
      <c r="B140" s="117" t="s">
        <v>203</v>
      </c>
      <c r="C140" s="117" t="str">
        <f t="shared" si="0"/>
        <v>AU Australia CCC: 0,921</v>
      </c>
      <c r="D140" s="118">
        <v>0.92100000000000004</v>
      </c>
      <c r="E140" s="110" t="s">
        <v>195</v>
      </c>
      <c r="F140" s="21"/>
      <c r="G140"/>
      <c r="H140" s="250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</row>
    <row r="141" spans="1:98" s="110" customFormat="1" outlineLevel="1" x14ac:dyDescent="0.3">
      <c r="A141" s="110" t="s">
        <v>204</v>
      </c>
      <c r="B141" s="117" t="s">
        <v>205</v>
      </c>
      <c r="C141" s="117" t="str">
        <f t="shared" si="0"/>
        <v>AT Austria CCC: 0,97</v>
      </c>
      <c r="D141" s="118">
        <v>0.97</v>
      </c>
      <c r="E141" s="110" t="s">
        <v>206</v>
      </c>
      <c r="F141" s="21"/>
      <c r="G141"/>
      <c r="H141" s="25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</row>
    <row r="142" spans="1:98" s="110" customFormat="1" outlineLevel="1" x14ac:dyDescent="0.3">
      <c r="A142" s="110" t="s">
        <v>207</v>
      </c>
      <c r="B142" s="117" t="s">
        <v>208</v>
      </c>
      <c r="C142" s="117" t="str">
        <f t="shared" si="0"/>
        <v>AZ Azerbaijan CCC: 0,749</v>
      </c>
      <c r="D142" s="118">
        <v>0.749</v>
      </c>
      <c r="E142" s="110" t="s">
        <v>195</v>
      </c>
      <c r="F142" s="21"/>
      <c r="G142" s="251"/>
      <c r="H142" s="252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</row>
    <row r="143" spans="1:98" s="110" customFormat="1" outlineLevel="1" x14ac:dyDescent="0.3">
      <c r="A143" s="110" t="s">
        <v>209</v>
      </c>
      <c r="B143" s="117" t="s">
        <v>210</v>
      </c>
      <c r="C143" s="117" t="str">
        <f t="shared" si="0"/>
        <v>BD Bangladesh CCC: 0,741</v>
      </c>
      <c r="D143" s="118">
        <v>0.74099999999999999</v>
      </c>
      <c r="E143" s="110" t="s">
        <v>195</v>
      </c>
      <c r="F143" s="21"/>
      <c r="G143"/>
      <c r="H143" s="25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</row>
    <row r="144" spans="1:98" s="110" customFormat="1" outlineLevel="1" x14ac:dyDescent="0.3">
      <c r="A144" s="110" t="s">
        <v>211</v>
      </c>
      <c r="B144" s="117" t="s">
        <v>212</v>
      </c>
      <c r="C144" s="117" t="str">
        <f t="shared" si="0"/>
        <v>BB Barbados CCC: 1,029</v>
      </c>
      <c r="D144" s="118">
        <v>1.0289999999999999</v>
      </c>
      <c r="E144" s="110" t="s">
        <v>195</v>
      </c>
      <c r="F144" s="21"/>
      <c r="G144" s="251"/>
      <c r="H144" s="252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</row>
    <row r="145" spans="1:98" s="110" customFormat="1" outlineLevel="1" x14ac:dyDescent="0.3">
      <c r="A145" s="110" t="s">
        <v>213</v>
      </c>
      <c r="B145" s="117" t="s">
        <v>214</v>
      </c>
      <c r="C145" s="117" t="str">
        <f t="shared" si="0"/>
        <v>BY Belarus CCC: 0,609</v>
      </c>
      <c r="D145" s="118">
        <v>0.60899999999999999</v>
      </c>
      <c r="E145" s="110" t="s">
        <v>195</v>
      </c>
      <c r="F145" s="21"/>
      <c r="G145" s="251"/>
      <c r="H145" s="252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</row>
    <row r="146" spans="1:98" s="110" customFormat="1" outlineLevel="1" x14ac:dyDescent="0.3">
      <c r="A146" s="110" t="s">
        <v>215</v>
      </c>
      <c r="B146" s="117" t="s">
        <v>216</v>
      </c>
      <c r="C146" s="117" t="str">
        <f t="shared" si="0"/>
        <v>BE Belgium CCC: 0,912</v>
      </c>
      <c r="D146" s="118">
        <v>0.91200000000000003</v>
      </c>
      <c r="E146" s="110" t="s">
        <v>206</v>
      </c>
      <c r="F146" s="21"/>
      <c r="G146" s="251"/>
      <c r="H146" s="252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</row>
    <row r="147" spans="1:98" s="110" customFormat="1" outlineLevel="1" x14ac:dyDescent="0.3">
      <c r="A147" s="110" t="s">
        <v>217</v>
      </c>
      <c r="B147" s="117" t="s">
        <v>218</v>
      </c>
      <c r="C147" s="117" t="str">
        <f t="shared" si="0"/>
        <v>BZ Belize CCC: 0,729</v>
      </c>
      <c r="D147" s="118">
        <v>0.72899999999999998</v>
      </c>
      <c r="E147" s="110" t="s">
        <v>195</v>
      </c>
      <c r="F147" s="21"/>
      <c r="G147"/>
      <c r="H147" s="25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</row>
    <row r="148" spans="1:98" s="110" customFormat="1" outlineLevel="1" x14ac:dyDescent="0.3">
      <c r="A148" s="110" t="s">
        <v>219</v>
      </c>
      <c r="B148" s="117" t="s">
        <v>220</v>
      </c>
      <c r="C148" s="117" t="str">
        <f t="shared" si="0"/>
        <v>BJ Benin CCC: 0,839</v>
      </c>
      <c r="D148" s="118">
        <v>0.83899999999999997</v>
      </c>
      <c r="E148" s="110" t="s">
        <v>195</v>
      </c>
      <c r="F148" s="21"/>
      <c r="G148" s="251"/>
      <c r="H148" s="252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</row>
    <row r="149" spans="1:98" s="110" customFormat="1" outlineLevel="1" x14ac:dyDescent="0.3">
      <c r="A149" s="110" t="s">
        <v>221</v>
      </c>
      <c r="B149" s="117" t="s">
        <v>222</v>
      </c>
      <c r="C149" s="117" t="str">
        <f t="shared" si="0"/>
        <v xml:space="preserve">BM Bermuda CCC: </v>
      </c>
      <c r="D149" s="118"/>
      <c r="E149" s="110" t="s">
        <v>195</v>
      </c>
      <c r="F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</row>
    <row r="150" spans="1:98" s="110" customFormat="1" outlineLevel="1" x14ac:dyDescent="0.3">
      <c r="A150" s="110" t="s">
        <v>223</v>
      </c>
      <c r="B150" s="117" t="s">
        <v>224</v>
      </c>
      <c r="C150" s="117" t="str">
        <f t="shared" si="0"/>
        <v>BO Bolivia (Plurinational State of) CCC: 0,766</v>
      </c>
      <c r="D150" s="118">
        <v>0.76600000000000001</v>
      </c>
      <c r="E150" s="110" t="s">
        <v>195</v>
      </c>
      <c r="F150" s="21"/>
      <c r="G150"/>
      <c r="H150" s="250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</row>
    <row r="151" spans="1:98" s="110" customFormat="1" outlineLevel="1" x14ac:dyDescent="0.3">
      <c r="A151" s="110" t="s">
        <v>225</v>
      </c>
      <c r="B151" s="117" t="s">
        <v>226</v>
      </c>
      <c r="C151" s="117" t="str">
        <f t="shared" si="0"/>
        <v>BA Bosnia and Herzegovina CCC: 0,583</v>
      </c>
      <c r="D151" s="118">
        <v>0.58299999999999996</v>
      </c>
      <c r="E151" s="110" t="s">
        <v>192</v>
      </c>
      <c r="F151" s="21"/>
      <c r="G151"/>
      <c r="H151" s="25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</row>
    <row r="152" spans="1:98" s="110" customFormat="1" outlineLevel="1" x14ac:dyDescent="0.3">
      <c r="A152" s="110" t="s">
        <v>227</v>
      </c>
      <c r="B152" s="117" t="s">
        <v>228</v>
      </c>
      <c r="C152" s="117" t="str">
        <f t="shared" si="0"/>
        <v>BW Botswana CCC: 0,574</v>
      </c>
      <c r="D152" s="118">
        <v>0.57399999999999995</v>
      </c>
      <c r="E152" s="110" t="s">
        <v>195</v>
      </c>
      <c r="F152" s="21"/>
      <c r="G152"/>
      <c r="H152" s="250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</row>
    <row r="153" spans="1:98" s="110" customFormat="1" outlineLevel="1" x14ac:dyDescent="0.3">
      <c r="A153" s="110" t="s">
        <v>229</v>
      </c>
      <c r="B153" s="117" t="s">
        <v>230</v>
      </c>
      <c r="C153" s="117" t="str">
        <f t="shared" si="0"/>
        <v>BR Brazil CCC: 0,773</v>
      </c>
      <c r="D153" s="118">
        <v>0.77300000000000002</v>
      </c>
      <c r="E153" s="110" t="s">
        <v>195</v>
      </c>
      <c r="F153" s="21"/>
      <c r="G153" s="251"/>
      <c r="H153" s="252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</row>
    <row r="154" spans="1:98" s="110" customFormat="1" outlineLevel="1" x14ac:dyDescent="0.3">
      <c r="A154" s="110" t="s">
        <v>231</v>
      </c>
      <c r="B154" s="117" t="s">
        <v>232</v>
      </c>
      <c r="C154" s="117" t="str">
        <f t="shared" si="0"/>
        <v>BG Bulgaria CCC: 0,5</v>
      </c>
      <c r="D154" s="118">
        <v>0.5</v>
      </c>
      <c r="E154" s="110" t="s">
        <v>206</v>
      </c>
      <c r="F154" s="21"/>
      <c r="G154"/>
      <c r="H154" s="250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</row>
    <row r="155" spans="1:98" s="110" customFormat="1" outlineLevel="1" x14ac:dyDescent="0.3">
      <c r="A155" s="110" t="s">
        <v>233</v>
      </c>
      <c r="B155" s="117" t="s">
        <v>234</v>
      </c>
      <c r="C155" s="117" t="str">
        <f t="shared" si="0"/>
        <v>BF Burkina Faso CCC: 0,867</v>
      </c>
      <c r="D155" s="118">
        <v>0.86699999999999999</v>
      </c>
      <c r="E155" s="110" t="s">
        <v>195</v>
      </c>
      <c r="F155" s="21"/>
      <c r="G155" s="251"/>
      <c r="H155" s="252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</row>
    <row r="156" spans="1:98" s="110" customFormat="1" outlineLevel="1" x14ac:dyDescent="0.3">
      <c r="A156" s="110" t="s">
        <v>235</v>
      </c>
      <c r="B156" s="117" t="s">
        <v>236</v>
      </c>
      <c r="C156" s="117" t="str">
        <f t="shared" si="0"/>
        <v>BI Burundi CCC: 0,742</v>
      </c>
      <c r="D156" s="118">
        <v>0.74199999999999999</v>
      </c>
      <c r="E156" s="110" t="s">
        <v>195</v>
      </c>
      <c r="F156" s="21"/>
      <c r="G156"/>
      <c r="H156" s="250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</row>
    <row r="157" spans="1:98" s="110" customFormat="1" outlineLevel="1" x14ac:dyDescent="0.3">
      <c r="A157" s="110" t="s">
        <v>237</v>
      </c>
      <c r="B157" s="117" t="s">
        <v>238</v>
      </c>
      <c r="C157" s="117" t="str">
        <f t="shared" si="0"/>
        <v>CV Cabo Verde CCC: 0,635</v>
      </c>
      <c r="D157" s="118">
        <v>0.63500000000000001</v>
      </c>
      <c r="E157" s="110" t="s">
        <v>195</v>
      </c>
      <c r="F157" s="21"/>
      <c r="G157" s="251"/>
      <c r="H157" s="252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</row>
    <row r="158" spans="1:98" s="110" customFormat="1" outlineLevel="1" x14ac:dyDescent="0.3">
      <c r="A158" s="110" t="s">
        <v>239</v>
      </c>
      <c r="B158" s="117" t="s">
        <v>240</v>
      </c>
      <c r="C158" s="117" t="str">
        <f t="shared" si="0"/>
        <v>KH Cambodia CCC: 0,717</v>
      </c>
      <c r="D158" s="118">
        <v>0.71699999999999997</v>
      </c>
      <c r="E158" s="110" t="s">
        <v>195</v>
      </c>
      <c r="F158" s="21"/>
      <c r="G158" s="251"/>
      <c r="H158" s="252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</row>
    <row r="159" spans="1:98" s="110" customFormat="1" outlineLevel="1" x14ac:dyDescent="0.3">
      <c r="A159" s="110" t="s">
        <v>241</v>
      </c>
      <c r="B159" s="117" t="s">
        <v>242</v>
      </c>
      <c r="C159" s="117" t="str">
        <f t="shared" si="0"/>
        <v>CM Cameroon CCC: 0,801</v>
      </c>
      <c r="D159" s="118">
        <v>0.80100000000000005</v>
      </c>
      <c r="E159" s="110" t="s">
        <v>195</v>
      </c>
      <c r="F159" s="21"/>
      <c r="G159"/>
      <c r="H159" s="25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</row>
    <row r="160" spans="1:98" s="110" customFormat="1" outlineLevel="1" x14ac:dyDescent="0.3">
      <c r="A160" s="110" t="s">
        <v>243</v>
      </c>
      <c r="B160" s="117" t="s">
        <v>244</v>
      </c>
      <c r="C160" s="117" t="str">
        <f t="shared" si="0"/>
        <v>CA Canada CCC: 0,869</v>
      </c>
      <c r="D160" s="118">
        <v>0.86899999999999999</v>
      </c>
      <c r="E160" s="110" t="s">
        <v>195</v>
      </c>
      <c r="F160" s="21"/>
      <c r="G160" s="251"/>
      <c r="H160" s="252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</row>
    <row r="161" spans="1:98" s="110" customFormat="1" outlineLevel="1" x14ac:dyDescent="0.3">
      <c r="A161" s="110" t="s">
        <v>245</v>
      </c>
      <c r="B161" s="117" t="s">
        <v>246</v>
      </c>
      <c r="C161" s="117" t="str">
        <f t="shared" si="0"/>
        <v>CF Central African Republic (the) CCC: 0,997</v>
      </c>
      <c r="D161" s="118">
        <v>0.997</v>
      </c>
      <c r="E161" s="110" t="s">
        <v>195</v>
      </c>
      <c r="F161" s="21"/>
      <c r="G161" s="251"/>
      <c r="H161" s="252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</row>
    <row r="162" spans="1:98" s="110" customFormat="1" outlineLevel="1" x14ac:dyDescent="0.3">
      <c r="A162" s="110" t="s">
        <v>247</v>
      </c>
      <c r="B162" s="117" t="s">
        <v>248</v>
      </c>
      <c r="C162" s="117" t="str">
        <f t="shared" si="0"/>
        <v>TD Chad CCC: 0,913</v>
      </c>
      <c r="D162" s="118">
        <v>0.91300000000000003</v>
      </c>
      <c r="E162" s="110" t="s">
        <v>195</v>
      </c>
      <c r="F162" s="21"/>
      <c r="G162" s="251"/>
      <c r="H162" s="252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</row>
    <row r="163" spans="1:98" s="110" customFormat="1" outlineLevel="1" x14ac:dyDescent="0.3">
      <c r="A163" s="110" t="s">
        <v>249</v>
      </c>
      <c r="B163" s="117" t="s">
        <v>250</v>
      </c>
      <c r="C163" s="117" t="str">
        <f t="shared" si="0"/>
        <v>CL Chile CCC: 0,634</v>
      </c>
      <c r="D163" s="118">
        <v>0.63400000000000001</v>
      </c>
      <c r="E163" s="110" t="s">
        <v>195</v>
      </c>
      <c r="F163" s="21"/>
      <c r="G163" s="251"/>
      <c r="H163" s="252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</row>
    <row r="164" spans="1:98" s="110" customFormat="1" outlineLevel="1" x14ac:dyDescent="0.3">
      <c r="A164" s="110" t="s">
        <v>251</v>
      </c>
      <c r="B164" s="117" t="s">
        <v>252</v>
      </c>
      <c r="C164" s="117" t="str">
        <f t="shared" si="0"/>
        <v>CN China CCC: 0,821</v>
      </c>
      <c r="D164" s="118">
        <v>0.82099999999999995</v>
      </c>
      <c r="E164" s="110" t="s">
        <v>195</v>
      </c>
      <c r="F164" s="21"/>
      <c r="G164" s="251"/>
      <c r="H164" s="252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</row>
    <row r="165" spans="1:98" s="110" customFormat="1" outlineLevel="1" x14ac:dyDescent="0.3">
      <c r="A165" s="110" t="s">
        <v>253</v>
      </c>
      <c r="B165" s="117" t="s">
        <v>254</v>
      </c>
      <c r="C165" s="117" t="str">
        <f t="shared" si="0"/>
        <v>CO Colombia CCC: 0,617</v>
      </c>
      <c r="D165" s="118">
        <v>0.61699999999999999</v>
      </c>
      <c r="E165" s="110" t="s">
        <v>195</v>
      </c>
      <c r="F165" s="21"/>
      <c r="G165"/>
      <c r="H165" s="250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</row>
    <row r="166" spans="1:98" s="110" customFormat="1" outlineLevel="1" x14ac:dyDescent="0.3">
      <c r="A166" s="110" t="s">
        <v>255</v>
      </c>
      <c r="B166" s="117" t="s">
        <v>256</v>
      </c>
      <c r="C166" s="117" t="str">
        <f t="shared" si="0"/>
        <v>KM Comoros (the) CCC: 0,691</v>
      </c>
      <c r="D166" s="118">
        <v>0.69099999999999995</v>
      </c>
      <c r="E166" s="110" t="s">
        <v>195</v>
      </c>
      <c r="F166" s="21"/>
      <c r="G166"/>
      <c r="H166" s="250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</row>
    <row r="167" spans="1:98" s="110" customFormat="1" outlineLevel="1" x14ac:dyDescent="0.3">
      <c r="A167" s="110" t="s">
        <v>257</v>
      </c>
      <c r="B167" s="117" t="s">
        <v>258</v>
      </c>
      <c r="C167" s="117" t="str">
        <f t="shared" ref="C167:C198" si="1">A167&amp;" "&amp;B167&amp;" "&amp;"CCC: "&amp;D167</f>
        <v>CD Congo (the Democratic Republic of the) CCC: 1,386</v>
      </c>
      <c r="D167" s="118">
        <v>1.3859999999999999</v>
      </c>
      <c r="E167" s="110" t="s">
        <v>195</v>
      </c>
      <c r="F167" s="21"/>
      <c r="G167"/>
      <c r="H167" s="250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</row>
    <row r="168" spans="1:98" s="110" customFormat="1" outlineLevel="1" x14ac:dyDescent="0.3">
      <c r="A168" s="110" t="s">
        <v>259</v>
      </c>
      <c r="B168" s="117" t="s">
        <v>260</v>
      </c>
      <c r="C168" s="117" t="str">
        <f t="shared" si="1"/>
        <v>CG Congo (the) CCC: 1,07</v>
      </c>
      <c r="D168" s="118">
        <v>1.07</v>
      </c>
      <c r="E168" s="110" t="s">
        <v>195</v>
      </c>
      <c r="F168" s="21"/>
      <c r="G168"/>
      <c r="H168" s="250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</row>
    <row r="169" spans="1:98" s="110" customFormat="1" outlineLevel="1" x14ac:dyDescent="0.3">
      <c r="A169" s="110" t="s">
        <v>261</v>
      </c>
      <c r="B169" s="117" t="s">
        <v>262</v>
      </c>
      <c r="C169" s="117" t="str">
        <f t="shared" si="1"/>
        <v>CR Costa Rica CCC: 0,708</v>
      </c>
      <c r="D169" s="118">
        <v>0.70799999999999996</v>
      </c>
      <c r="E169" s="110" t="s">
        <v>195</v>
      </c>
      <c r="F169" s="21"/>
      <c r="G169" s="251"/>
      <c r="H169" s="252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</row>
    <row r="170" spans="1:98" s="110" customFormat="1" outlineLevel="1" x14ac:dyDescent="0.3">
      <c r="A170" s="110" t="s">
        <v>263</v>
      </c>
      <c r="B170" s="117" t="s">
        <v>264</v>
      </c>
      <c r="C170" s="117" t="str">
        <f t="shared" si="1"/>
        <v>CI Côte d'Ivoire CCC: 0,863</v>
      </c>
      <c r="D170" s="118">
        <v>0.86299999999999999</v>
      </c>
      <c r="E170" s="110" t="s">
        <v>195</v>
      </c>
      <c r="F170" s="21"/>
      <c r="G170"/>
      <c r="H170" s="250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</row>
    <row r="171" spans="1:98" s="110" customFormat="1" outlineLevel="1" x14ac:dyDescent="0.3">
      <c r="A171" s="110" t="s">
        <v>265</v>
      </c>
      <c r="B171" s="117" t="s">
        <v>266</v>
      </c>
      <c r="C171" s="117" t="str">
        <f t="shared" si="1"/>
        <v>HR Croatia CCC: 0,689</v>
      </c>
      <c r="D171" s="118">
        <v>0.68899999999999995</v>
      </c>
      <c r="E171" s="110" t="s">
        <v>206</v>
      </c>
      <c r="F171" s="21"/>
      <c r="G171"/>
      <c r="H171" s="250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</row>
    <row r="172" spans="1:98" s="110" customFormat="1" outlineLevel="1" x14ac:dyDescent="0.3">
      <c r="A172" s="110" t="s">
        <v>267</v>
      </c>
      <c r="B172" s="117" t="s">
        <v>268</v>
      </c>
      <c r="C172" s="117" t="str">
        <f t="shared" si="1"/>
        <v>CU Cuba CCC: 0,753</v>
      </c>
      <c r="D172" s="118">
        <v>0.753</v>
      </c>
      <c r="E172" s="110" t="s">
        <v>195</v>
      </c>
      <c r="F172" s="21"/>
      <c r="G172"/>
      <c r="H172" s="250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</row>
    <row r="173" spans="1:98" s="110" customFormat="1" outlineLevel="1" x14ac:dyDescent="0.3">
      <c r="A173" s="110" t="s">
        <v>269</v>
      </c>
      <c r="B173" s="117" t="s">
        <v>270</v>
      </c>
      <c r="C173" s="117" t="str">
        <f t="shared" si="1"/>
        <v>CY Cyprus CCC: 0,707</v>
      </c>
      <c r="D173" s="118">
        <v>0.70699999999999996</v>
      </c>
      <c r="E173" s="110" t="s">
        <v>206</v>
      </c>
      <c r="F173" s="21"/>
      <c r="G173" s="251"/>
      <c r="H173" s="252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</row>
    <row r="174" spans="1:98" s="110" customFormat="1" outlineLevel="1" x14ac:dyDescent="0.3">
      <c r="A174" s="110" t="s">
        <v>271</v>
      </c>
      <c r="B174" s="117" t="s">
        <v>272</v>
      </c>
      <c r="C174" s="117" t="str">
        <f t="shared" si="1"/>
        <v>CZ Czechia CCC: 0,722</v>
      </c>
      <c r="D174" s="118">
        <v>0.72199999999999998</v>
      </c>
      <c r="E174" s="110" t="s">
        <v>206</v>
      </c>
      <c r="F174" s="21"/>
      <c r="G174"/>
      <c r="H174" s="250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</row>
    <row r="175" spans="1:98" s="110" customFormat="1" outlineLevel="1" x14ac:dyDescent="0.3">
      <c r="A175" s="110" t="s">
        <v>273</v>
      </c>
      <c r="B175" s="117" t="s">
        <v>274</v>
      </c>
      <c r="C175" s="117" t="str">
        <f t="shared" si="1"/>
        <v>DK Denmark CCC: 1,204</v>
      </c>
      <c r="D175" s="118">
        <v>1.204</v>
      </c>
      <c r="E175" s="110" t="s">
        <v>206</v>
      </c>
      <c r="F175" s="21"/>
      <c r="G175"/>
      <c r="H175" s="250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</row>
    <row r="176" spans="1:98" s="110" customFormat="1" outlineLevel="1" x14ac:dyDescent="0.3">
      <c r="A176" s="110" t="s">
        <v>275</v>
      </c>
      <c r="B176" s="117" t="s">
        <v>276</v>
      </c>
      <c r="C176" s="117" t="str">
        <f t="shared" si="1"/>
        <v>DJ Djibouti CCC: 0,796</v>
      </c>
      <c r="D176" s="118">
        <v>0.79600000000000004</v>
      </c>
      <c r="E176" s="110" t="s">
        <v>195</v>
      </c>
      <c r="F176" s="21"/>
      <c r="G176"/>
      <c r="H176" s="250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</row>
    <row r="177" spans="1:98" s="110" customFormat="1" outlineLevel="1" x14ac:dyDescent="0.3">
      <c r="A177" s="110" t="s">
        <v>277</v>
      </c>
      <c r="B177" s="117" t="s">
        <v>278</v>
      </c>
      <c r="C177" s="117" t="str">
        <f t="shared" si="1"/>
        <v>DO Dominican Republic (the) CCC: 0,56</v>
      </c>
      <c r="D177" s="118">
        <v>0.56000000000000005</v>
      </c>
      <c r="E177" s="110" t="s">
        <v>195</v>
      </c>
      <c r="F177" s="21"/>
      <c r="G177" s="251"/>
      <c r="H177" s="252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</row>
    <row r="178" spans="1:98" s="110" customFormat="1" outlineLevel="1" x14ac:dyDescent="0.3">
      <c r="A178" s="110" t="s">
        <v>279</v>
      </c>
      <c r="B178" s="117" t="s">
        <v>280</v>
      </c>
      <c r="C178" s="117" t="str">
        <f t="shared" si="1"/>
        <v>EC Ecuador CCC: 0,724</v>
      </c>
      <c r="D178" s="118">
        <v>0.72399999999999998</v>
      </c>
      <c r="E178" s="110" t="s">
        <v>195</v>
      </c>
      <c r="F178" s="21"/>
      <c r="G178" s="251"/>
      <c r="H178" s="252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</row>
    <row r="179" spans="1:98" s="110" customFormat="1" outlineLevel="1" x14ac:dyDescent="0.3">
      <c r="A179" s="110" t="s">
        <v>281</v>
      </c>
      <c r="B179" s="117" t="s">
        <v>282</v>
      </c>
      <c r="C179" s="117" t="str">
        <f t="shared" si="1"/>
        <v>EG Egypt CCC: 0,615</v>
      </c>
      <c r="D179" s="118">
        <v>0.61499999999999999</v>
      </c>
      <c r="E179" s="110" t="s">
        <v>195</v>
      </c>
      <c r="F179" s="21"/>
      <c r="G179"/>
      <c r="H179" s="250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</row>
    <row r="180" spans="1:98" s="110" customFormat="1" outlineLevel="1" x14ac:dyDescent="0.3">
      <c r="A180" s="110" t="s">
        <v>283</v>
      </c>
      <c r="B180" s="117" t="s">
        <v>284</v>
      </c>
      <c r="C180" s="117" t="str">
        <f t="shared" si="1"/>
        <v>SV El Salvador CCC: 0,659</v>
      </c>
      <c r="D180" s="118">
        <v>0.65900000000000003</v>
      </c>
      <c r="E180" s="110" t="s">
        <v>195</v>
      </c>
      <c r="F180" s="21"/>
      <c r="G180" s="251"/>
      <c r="H180" s="252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</row>
    <row r="181" spans="1:98" s="110" customFormat="1" outlineLevel="1" x14ac:dyDescent="0.3">
      <c r="A181" s="110" t="s">
        <v>285</v>
      </c>
      <c r="B181" s="117" t="s">
        <v>286</v>
      </c>
      <c r="C181" s="117" t="str">
        <f t="shared" si="1"/>
        <v>ER Eritrea CCC: 1,099</v>
      </c>
      <c r="D181" s="118">
        <v>1.099</v>
      </c>
      <c r="E181" s="110" t="s">
        <v>195</v>
      </c>
      <c r="F181" s="21"/>
      <c r="G181" s="251"/>
      <c r="H181" s="252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</row>
    <row r="182" spans="1:98" s="110" customFormat="1" outlineLevel="1" x14ac:dyDescent="0.3">
      <c r="A182" s="110" t="s">
        <v>287</v>
      </c>
      <c r="B182" s="117" t="s">
        <v>288</v>
      </c>
      <c r="C182" s="117" t="str">
        <f t="shared" si="1"/>
        <v>EE Estonia CCC: 0,733</v>
      </c>
      <c r="D182" s="118">
        <v>0.73299999999999998</v>
      </c>
      <c r="E182" s="110" t="s">
        <v>206</v>
      </c>
      <c r="F182" s="21"/>
      <c r="G182" s="251"/>
      <c r="H182" s="252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</row>
    <row r="183" spans="1:98" s="110" customFormat="1" outlineLevel="1" x14ac:dyDescent="0.3">
      <c r="A183" s="110" t="s">
        <v>289</v>
      </c>
      <c r="B183" s="117" t="s">
        <v>290</v>
      </c>
      <c r="C183" s="117" t="str">
        <f t="shared" si="1"/>
        <v>SZ Eswatini CCC: 0,559</v>
      </c>
      <c r="D183" s="118">
        <v>0.55900000000000005</v>
      </c>
      <c r="E183" s="110" t="s">
        <v>195</v>
      </c>
      <c r="F183" s="21"/>
      <c r="G183"/>
      <c r="H183" s="250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</row>
    <row r="184" spans="1:98" s="110" customFormat="1" outlineLevel="1" x14ac:dyDescent="0.3">
      <c r="A184" s="110" t="s">
        <v>291</v>
      </c>
      <c r="B184" s="117" t="s">
        <v>292</v>
      </c>
      <c r="C184" s="117" t="str">
        <f t="shared" si="1"/>
        <v>ET Ethiopia CCC: 0,747</v>
      </c>
      <c r="D184" s="118">
        <v>0.747</v>
      </c>
      <c r="E184" s="110" t="s">
        <v>195</v>
      </c>
      <c r="F184" s="21"/>
      <c r="G184"/>
      <c r="H184" s="250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</row>
    <row r="185" spans="1:98" s="110" customFormat="1" outlineLevel="1" x14ac:dyDescent="0.3">
      <c r="A185" s="110" t="s">
        <v>293</v>
      </c>
      <c r="B185" s="117" t="s">
        <v>294</v>
      </c>
      <c r="C185" s="117" t="str">
        <f t="shared" si="1"/>
        <v>FO Faroe Islands (the) CCC: 1,204</v>
      </c>
      <c r="D185" s="118">
        <v>1.204</v>
      </c>
      <c r="E185" s="110" t="s">
        <v>192</v>
      </c>
      <c r="F185" s="21"/>
      <c r="G185"/>
      <c r="H185" s="250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</row>
    <row r="186" spans="1:98" s="110" customFormat="1" outlineLevel="1" x14ac:dyDescent="0.3">
      <c r="A186" s="110" t="s">
        <v>295</v>
      </c>
      <c r="B186" s="117" t="s">
        <v>296</v>
      </c>
      <c r="C186" s="117" t="str">
        <f t="shared" si="1"/>
        <v>FJ Fiji CCC: 0,671</v>
      </c>
      <c r="D186" s="118">
        <v>0.67100000000000004</v>
      </c>
      <c r="E186" s="110" t="s">
        <v>195</v>
      </c>
      <c r="F186" s="21"/>
      <c r="G186" s="251"/>
      <c r="H186" s="252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</row>
    <row r="187" spans="1:98" s="110" customFormat="1" outlineLevel="1" x14ac:dyDescent="0.3">
      <c r="A187" s="110" t="s">
        <v>297</v>
      </c>
      <c r="B187" s="117" t="s">
        <v>298</v>
      </c>
      <c r="C187" s="117" t="str">
        <f t="shared" si="1"/>
        <v>FI Finland CCC: 1,09</v>
      </c>
      <c r="D187" s="118">
        <v>1.0900000000000001</v>
      </c>
      <c r="E187" s="110" t="s">
        <v>206</v>
      </c>
      <c r="F187" s="21"/>
      <c r="G187"/>
      <c r="H187" s="250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</row>
    <row r="188" spans="1:98" s="110" customFormat="1" outlineLevel="1" x14ac:dyDescent="0.3">
      <c r="A188" s="110" t="s">
        <v>299</v>
      </c>
      <c r="B188" s="117" t="s">
        <v>300</v>
      </c>
      <c r="C188" s="117" t="str">
        <f t="shared" si="1"/>
        <v>FR France CCC: 1,062</v>
      </c>
      <c r="D188" s="118">
        <v>1.0620000000000001</v>
      </c>
      <c r="E188" s="110" t="s">
        <v>206</v>
      </c>
      <c r="F188" s="21"/>
      <c r="G188" s="251"/>
      <c r="H188" s="252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</row>
    <row r="189" spans="1:98" s="110" customFormat="1" outlineLevel="1" x14ac:dyDescent="0.3">
      <c r="A189" s="110" t="s">
        <v>301</v>
      </c>
      <c r="B189" s="117" t="s">
        <v>302</v>
      </c>
      <c r="C189" s="117" t="str">
        <f t="shared" si="1"/>
        <v>GA Gabon CCC: 0,984</v>
      </c>
      <c r="D189" s="118">
        <v>0.98399999999999999</v>
      </c>
      <c r="E189" s="110" t="s">
        <v>195</v>
      </c>
      <c r="F189" s="21"/>
      <c r="G189" s="251"/>
      <c r="H189" s="252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</row>
    <row r="190" spans="1:98" s="110" customFormat="1" outlineLevel="1" x14ac:dyDescent="0.3">
      <c r="A190" s="110" t="s">
        <v>303</v>
      </c>
      <c r="B190" s="117" t="s">
        <v>304</v>
      </c>
      <c r="C190" s="117" t="str">
        <f t="shared" si="1"/>
        <v>GM Gambia (the) CCC: 0,628</v>
      </c>
      <c r="D190" s="118">
        <v>0.628</v>
      </c>
      <c r="E190" s="110" t="s">
        <v>195</v>
      </c>
      <c r="F190" s="21"/>
      <c r="G190"/>
      <c r="H190" s="250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</row>
    <row r="191" spans="1:98" s="110" customFormat="1" outlineLevel="1" x14ac:dyDescent="0.3">
      <c r="A191" s="110" t="s">
        <v>305</v>
      </c>
      <c r="B191" s="117" t="s">
        <v>306</v>
      </c>
      <c r="C191" s="117" t="str">
        <f t="shared" si="1"/>
        <v>GE Georgia CCC: 0,568</v>
      </c>
      <c r="D191" s="118">
        <v>0.56799999999999995</v>
      </c>
      <c r="E191" s="110" t="s">
        <v>192</v>
      </c>
      <c r="F191" s="21"/>
      <c r="G191"/>
      <c r="H191" s="250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</row>
    <row r="192" spans="1:98" s="110" customFormat="1" outlineLevel="1" x14ac:dyDescent="0.3">
      <c r="A192" s="110" t="s">
        <v>307</v>
      </c>
      <c r="B192" s="117" t="s">
        <v>308</v>
      </c>
      <c r="C192" s="117" t="str">
        <f t="shared" si="1"/>
        <v>DE Germany CCC: 0,897</v>
      </c>
      <c r="D192" s="118">
        <v>0.89700000000000002</v>
      </c>
      <c r="E192" s="110" t="s">
        <v>206</v>
      </c>
      <c r="F192" s="21"/>
      <c r="G192" s="251"/>
      <c r="H192" s="252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  <c r="CE192" s="21"/>
      <c r="CF192" s="21"/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</row>
    <row r="193" spans="1:98" s="110" customFormat="1" outlineLevel="1" x14ac:dyDescent="0.3">
      <c r="A193" s="110" t="s">
        <v>309</v>
      </c>
      <c r="B193" s="117" t="s">
        <v>310</v>
      </c>
      <c r="C193" s="117" t="str">
        <f t="shared" si="1"/>
        <v>GH Ghana CCC: 0,674</v>
      </c>
      <c r="D193" s="118">
        <v>0.67400000000000004</v>
      </c>
      <c r="E193" s="110" t="s">
        <v>195</v>
      </c>
      <c r="F193" s="21"/>
      <c r="G193" s="251"/>
      <c r="H193" s="252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</row>
    <row r="194" spans="1:98" s="110" customFormat="1" outlineLevel="1" x14ac:dyDescent="0.3">
      <c r="A194" s="110" t="s">
        <v>311</v>
      </c>
      <c r="B194" s="117" t="s">
        <v>312</v>
      </c>
      <c r="C194" s="117" t="str">
        <f t="shared" si="1"/>
        <v>GT Guatemala CCC: 0,797</v>
      </c>
      <c r="D194" s="118">
        <v>0.79700000000000004</v>
      </c>
      <c r="E194" s="110" t="s">
        <v>195</v>
      </c>
      <c r="F194" s="21"/>
      <c r="G194"/>
      <c r="H194" s="250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  <c r="CQ194" s="21"/>
      <c r="CR194" s="21"/>
      <c r="CS194" s="21"/>
      <c r="CT194" s="21"/>
    </row>
    <row r="195" spans="1:98" s="110" customFormat="1" outlineLevel="1" x14ac:dyDescent="0.3">
      <c r="A195" s="110" t="s">
        <v>313</v>
      </c>
      <c r="B195" s="117" t="s">
        <v>314</v>
      </c>
      <c r="C195" s="117" t="str">
        <f t="shared" si="1"/>
        <v>GN Guinea CCC: 0,768</v>
      </c>
      <c r="D195" s="118">
        <v>0.76800000000000002</v>
      </c>
      <c r="E195" s="110" t="s">
        <v>195</v>
      </c>
      <c r="F195" s="21"/>
      <c r="G195" s="251"/>
      <c r="H195" s="252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</row>
    <row r="196" spans="1:98" s="110" customFormat="1" outlineLevel="1" x14ac:dyDescent="0.3">
      <c r="A196" s="110" t="s">
        <v>315</v>
      </c>
      <c r="B196" s="117" t="s">
        <v>316</v>
      </c>
      <c r="C196" s="117" t="str">
        <f t="shared" si="1"/>
        <v>GW Guinea-Bissau CCC: 0,747</v>
      </c>
      <c r="D196" s="118">
        <v>0.747</v>
      </c>
      <c r="E196" s="110" t="s">
        <v>195</v>
      </c>
      <c r="F196" s="21"/>
      <c r="G196" s="251"/>
      <c r="H196" s="252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  <c r="CQ196" s="21"/>
      <c r="CR196" s="21"/>
      <c r="CS196" s="21"/>
      <c r="CT196" s="21"/>
    </row>
    <row r="197" spans="1:98" s="110" customFormat="1" outlineLevel="1" x14ac:dyDescent="0.3">
      <c r="A197" s="110" t="s">
        <v>317</v>
      </c>
      <c r="B197" s="117" t="s">
        <v>318</v>
      </c>
      <c r="C197" s="117" t="str">
        <f t="shared" si="1"/>
        <v>GY Guyana CCC: 0,654</v>
      </c>
      <c r="D197" s="118">
        <v>0.65400000000000003</v>
      </c>
      <c r="E197" s="110" t="s">
        <v>195</v>
      </c>
      <c r="F197" s="21"/>
      <c r="G197"/>
      <c r="H197" s="250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</row>
    <row r="198" spans="1:98" s="110" customFormat="1" outlineLevel="1" x14ac:dyDescent="0.3">
      <c r="A198" s="110" t="s">
        <v>319</v>
      </c>
      <c r="B198" s="117" t="s">
        <v>320</v>
      </c>
      <c r="C198" s="117" t="str">
        <f t="shared" si="1"/>
        <v>HT Haiti CCC: 0,776</v>
      </c>
      <c r="D198" s="118">
        <v>0.77600000000000002</v>
      </c>
      <c r="E198" s="110" t="s">
        <v>195</v>
      </c>
      <c r="F198" s="21"/>
      <c r="G198" s="251"/>
      <c r="H198" s="252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</row>
    <row r="199" spans="1:98" s="110" customFormat="1" outlineLevel="1" x14ac:dyDescent="0.3">
      <c r="A199" s="110" t="s">
        <v>321</v>
      </c>
      <c r="B199" s="117" t="s">
        <v>322</v>
      </c>
      <c r="C199" s="117" t="str">
        <f t="shared" ref="C199:C230" si="2">A199&amp;" "&amp;B199&amp;" "&amp;"CCC: "&amp;D199</f>
        <v>HN Honduras CCC: 0,706</v>
      </c>
      <c r="D199" s="118">
        <v>0.70599999999999996</v>
      </c>
      <c r="E199" s="110" t="s">
        <v>195</v>
      </c>
      <c r="F199" s="21"/>
      <c r="G199"/>
      <c r="H199" s="250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</row>
    <row r="200" spans="1:98" s="110" customFormat="1" outlineLevel="1" x14ac:dyDescent="0.3">
      <c r="A200" s="110" t="s">
        <v>323</v>
      </c>
      <c r="B200" s="117" t="s">
        <v>324</v>
      </c>
      <c r="C200" s="117" t="str">
        <f t="shared" si="2"/>
        <v>HK Hong Kong CCC: 1,053</v>
      </c>
      <c r="D200" s="118">
        <v>1.0529999999999999</v>
      </c>
      <c r="E200" s="110" t="s">
        <v>195</v>
      </c>
      <c r="F200" s="21"/>
      <c r="G200" s="251"/>
      <c r="H200" s="252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</row>
    <row r="201" spans="1:98" s="110" customFormat="1" outlineLevel="1" x14ac:dyDescent="0.3">
      <c r="A201" s="110" t="s">
        <v>325</v>
      </c>
      <c r="B201" s="117" t="s">
        <v>326</v>
      </c>
      <c r="C201" s="117" t="str">
        <f t="shared" si="2"/>
        <v>HU Hungary CCC: 0,657</v>
      </c>
      <c r="D201" s="118">
        <v>0.65700000000000003</v>
      </c>
      <c r="E201" s="110" t="s">
        <v>206</v>
      </c>
      <c r="F201" s="21"/>
      <c r="G201" s="251"/>
      <c r="H201" s="252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  <c r="CA201" s="21"/>
      <c r="CB201" s="21"/>
      <c r="CC201" s="21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</row>
    <row r="202" spans="1:98" s="110" customFormat="1" outlineLevel="1" x14ac:dyDescent="0.3">
      <c r="A202" s="110" t="s">
        <v>327</v>
      </c>
      <c r="B202" s="117" t="s">
        <v>328</v>
      </c>
      <c r="C202" s="117" t="str">
        <f t="shared" si="2"/>
        <v>IS Iceland CCC: 1,191</v>
      </c>
      <c r="D202" s="118">
        <v>1.1910000000000001</v>
      </c>
      <c r="E202" s="110" t="s">
        <v>192</v>
      </c>
      <c r="F202" s="21"/>
      <c r="G202" s="251"/>
      <c r="H202" s="252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  <c r="CA202" s="21"/>
      <c r="CB202" s="21"/>
      <c r="CC202" s="21"/>
      <c r="CD202" s="21"/>
      <c r="CE202" s="21"/>
      <c r="CF202" s="21"/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</row>
    <row r="203" spans="1:98" s="110" customFormat="1" outlineLevel="1" x14ac:dyDescent="0.3">
      <c r="A203" s="110" t="s">
        <v>329</v>
      </c>
      <c r="B203" s="117" t="s">
        <v>330</v>
      </c>
      <c r="C203" s="117" t="str">
        <f t="shared" si="2"/>
        <v>IN India CCC: 0,673</v>
      </c>
      <c r="D203" s="118">
        <v>0.67300000000000004</v>
      </c>
      <c r="E203" s="110" t="s">
        <v>195</v>
      </c>
      <c r="F203" s="21"/>
      <c r="G203"/>
      <c r="H203" s="250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  <c r="CA203" s="21"/>
      <c r="CB203" s="21"/>
      <c r="CC203" s="21"/>
      <c r="CD203" s="21"/>
      <c r="CE203" s="21"/>
      <c r="CF203" s="21"/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</row>
    <row r="204" spans="1:98" s="110" customFormat="1" outlineLevel="1" x14ac:dyDescent="0.3">
      <c r="A204" s="110" t="s">
        <v>331</v>
      </c>
      <c r="B204" s="117" t="s">
        <v>332</v>
      </c>
      <c r="C204" s="117" t="str">
        <f t="shared" si="2"/>
        <v>ID Indonesia CCC: 0,666</v>
      </c>
      <c r="D204" s="118">
        <v>0.66600000000000004</v>
      </c>
      <c r="E204" s="110" t="s">
        <v>195</v>
      </c>
      <c r="F204" s="21"/>
      <c r="G204"/>
      <c r="H204" s="250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  <c r="CA204" s="21"/>
      <c r="CB204" s="21"/>
      <c r="CC204" s="21"/>
      <c r="CD204" s="21"/>
      <c r="CE204" s="21"/>
      <c r="CF204" s="21"/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</row>
    <row r="205" spans="1:98" s="110" customFormat="1" outlineLevel="1" x14ac:dyDescent="0.3">
      <c r="A205" s="110" t="s">
        <v>333</v>
      </c>
      <c r="B205" s="117" t="s">
        <v>334</v>
      </c>
      <c r="C205" s="117" t="str">
        <f t="shared" si="2"/>
        <v>IE Ireland CCC: 1,09</v>
      </c>
      <c r="D205" s="118">
        <v>1.0900000000000001</v>
      </c>
      <c r="E205" s="110" t="s">
        <v>206</v>
      </c>
      <c r="F205" s="21"/>
      <c r="G205"/>
      <c r="H205" s="250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  <c r="CA205" s="21"/>
      <c r="CB205" s="21"/>
      <c r="CC205" s="21"/>
      <c r="CD205" s="21"/>
      <c r="CE205" s="21"/>
      <c r="CF205" s="21"/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</row>
    <row r="206" spans="1:98" s="110" customFormat="1" outlineLevel="1" x14ac:dyDescent="0.3">
      <c r="A206" s="110" t="s">
        <v>335</v>
      </c>
      <c r="B206" s="117" t="s">
        <v>336</v>
      </c>
      <c r="C206" s="117" t="str">
        <f t="shared" si="2"/>
        <v>IL Israel CCC: 0,978</v>
      </c>
      <c r="D206" s="118">
        <v>0.97799999999999998</v>
      </c>
      <c r="E206" s="110" t="s">
        <v>192</v>
      </c>
      <c r="F206" s="21"/>
      <c r="G206" s="251"/>
      <c r="H206" s="252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1"/>
      <c r="BO206" s="21"/>
      <c r="BP206" s="21"/>
      <c r="BQ206" s="21"/>
      <c r="BR206" s="21"/>
      <c r="BS206" s="21"/>
      <c r="BT206" s="21"/>
      <c r="BU206" s="21"/>
      <c r="BV206" s="21"/>
      <c r="BW206" s="21"/>
      <c r="BX206" s="21"/>
      <c r="BY206" s="21"/>
      <c r="BZ206" s="21"/>
      <c r="CA206" s="21"/>
      <c r="CB206" s="21"/>
      <c r="CC206" s="21"/>
      <c r="CD206" s="21"/>
      <c r="CE206" s="21"/>
      <c r="CF206" s="21"/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  <c r="CQ206" s="21"/>
      <c r="CR206" s="21"/>
      <c r="CS206" s="21"/>
      <c r="CT206" s="21"/>
    </row>
    <row r="207" spans="1:98" s="110" customFormat="1" outlineLevel="1" x14ac:dyDescent="0.3">
      <c r="A207" s="110" t="s">
        <v>337</v>
      </c>
      <c r="B207" s="117" t="s">
        <v>338</v>
      </c>
      <c r="C207" s="117" t="str">
        <f t="shared" si="2"/>
        <v>IT Italy CCC: 0,889</v>
      </c>
      <c r="D207" s="118">
        <v>0.88900000000000001</v>
      </c>
      <c r="E207" s="110" t="s">
        <v>206</v>
      </c>
      <c r="F207" s="21"/>
      <c r="G207" s="251"/>
      <c r="H207" s="252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1"/>
      <c r="BP207" s="21"/>
      <c r="BQ207" s="21"/>
      <c r="BR207" s="21"/>
      <c r="BS207" s="21"/>
      <c r="BT207" s="21"/>
      <c r="BU207" s="21"/>
      <c r="BV207" s="21"/>
      <c r="BW207" s="21"/>
      <c r="BX207" s="21"/>
      <c r="BY207" s="21"/>
      <c r="BZ207" s="21"/>
      <c r="CA207" s="21"/>
      <c r="CB207" s="21"/>
      <c r="CC207" s="21"/>
      <c r="CD207" s="21"/>
      <c r="CE207" s="21"/>
      <c r="CF207" s="21"/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</row>
    <row r="208" spans="1:98" s="110" customFormat="1" outlineLevel="1" x14ac:dyDescent="0.3">
      <c r="A208" s="110" t="s">
        <v>339</v>
      </c>
      <c r="B208" s="117" t="s">
        <v>340</v>
      </c>
      <c r="C208" s="117" t="str">
        <f t="shared" si="2"/>
        <v>JM Jamaica CCC: 0,77</v>
      </c>
      <c r="D208" s="118">
        <v>0.77</v>
      </c>
      <c r="E208" s="110" t="s">
        <v>195</v>
      </c>
      <c r="F208" s="21"/>
      <c r="G208"/>
      <c r="H208" s="250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  <c r="CA208" s="21"/>
      <c r="CB208" s="21"/>
      <c r="CC208" s="21"/>
      <c r="CD208" s="21"/>
      <c r="CE208" s="21"/>
      <c r="CF208" s="21"/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</row>
    <row r="209" spans="1:98" s="110" customFormat="1" outlineLevel="1" x14ac:dyDescent="0.3">
      <c r="A209" s="110" t="s">
        <v>341</v>
      </c>
      <c r="B209" s="117" t="s">
        <v>342</v>
      </c>
      <c r="C209" s="117" t="str">
        <f t="shared" si="2"/>
        <v>JP Japan CCC: 0,943</v>
      </c>
      <c r="D209" s="118">
        <v>0.94299999999999995</v>
      </c>
      <c r="E209" s="110" t="s">
        <v>195</v>
      </c>
      <c r="F209" s="21"/>
      <c r="G209"/>
      <c r="H209" s="250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  <c r="CA209" s="21"/>
      <c r="CB209" s="21"/>
      <c r="CC209" s="21"/>
      <c r="CD209" s="21"/>
      <c r="CE209" s="21"/>
      <c r="CF209" s="21"/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</row>
    <row r="210" spans="1:98" s="110" customFormat="1" outlineLevel="1" x14ac:dyDescent="0.3">
      <c r="A210" s="110" t="s">
        <v>343</v>
      </c>
      <c r="B210" s="117" t="s">
        <v>344</v>
      </c>
      <c r="C210" s="117" t="str">
        <f t="shared" si="2"/>
        <v>JO Jordan CCC: 0,901</v>
      </c>
      <c r="D210" s="118">
        <v>0.90100000000000002</v>
      </c>
      <c r="E210" s="110" t="s">
        <v>195</v>
      </c>
      <c r="F210" s="21"/>
      <c r="G210" s="251"/>
      <c r="H210" s="252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</row>
    <row r="211" spans="1:98" s="110" customFormat="1" outlineLevel="1" x14ac:dyDescent="0.3">
      <c r="A211" s="110" t="s">
        <v>345</v>
      </c>
      <c r="B211" s="117" t="s">
        <v>346</v>
      </c>
      <c r="C211" s="117" t="str">
        <f t="shared" si="2"/>
        <v>KZ Kazakhstan CCC: 0,656</v>
      </c>
      <c r="D211" s="118">
        <v>0.65600000000000003</v>
      </c>
      <c r="E211" s="110" t="s">
        <v>195</v>
      </c>
      <c r="F211" s="21"/>
      <c r="G211"/>
      <c r="H211" s="250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1"/>
      <c r="BV211" s="21"/>
      <c r="BW211" s="21"/>
      <c r="BX211" s="21"/>
      <c r="BY211" s="21"/>
      <c r="BZ211" s="21"/>
      <c r="CA211" s="21"/>
      <c r="CB211" s="21"/>
      <c r="CC211" s="21"/>
      <c r="CD211" s="21"/>
      <c r="CE211" s="21"/>
      <c r="CF211" s="21"/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</row>
    <row r="212" spans="1:98" s="110" customFormat="1" outlineLevel="1" x14ac:dyDescent="0.3">
      <c r="A212" s="110" t="s">
        <v>347</v>
      </c>
      <c r="B212" s="117" t="s">
        <v>348</v>
      </c>
      <c r="C212" s="117" t="str">
        <f t="shared" si="2"/>
        <v>KE Kenya CCC: 0,781</v>
      </c>
      <c r="D212" s="118">
        <v>0.78100000000000003</v>
      </c>
      <c r="E212" s="110" t="s">
        <v>195</v>
      </c>
      <c r="F212" s="21"/>
      <c r="G212" s="251"/>
      <c r="H212" s="252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  <c r="BU212" s="21"/>
      <c r="BV212" s="21"/>
      <c r="BW212" s="21"/>
      <c r="BX212" s="21"/>
      <c r="BY212" s="21"/>
      <c r="BZ212" s="21"/>
      <c r="CA212" s="21"/>
      <c r="CB212" s="21"/>
      <c r="CC212" s="21"/>
      <c r="CD212" s="21"/>
      <c r="CE212" s="21"/>
      <c r="CF212" s="21"/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  <c r="CQ212" s="21"/>
      <c r="CR212" s="21"/>
      <c r="CS212" s="21"/>
      <c r="CT212" s="21"/>
    </row>
    <row r="213" spans="1:98" s="110" customFormat="1" outlineLevel="1" x14ac:dyDescent="0.3">
      <c r="A213" s="110" t="s">
        <v>349</v>
      </c>
      <c r="B213" s="117" t="s">
        <v>350</v>
      </c>
      <c r="C213" s="117" t="str">
        <f t="shared" si="2"/>
        <v>KR Korea (the Republic of) CCC: 0,871</v>
      </c>
      <c r="D213" s="118">
        <v>0.871</v>
      </c>
      <c r="E213" s="110" t="s">
        <v>195</v>
      </c>
      <c r="F213" s="21"/>
      <c r="G213" s="251"/>
      <c r="H213" s="252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  <c r="BU213" s="21"/>
      <c r="BV213" s="21"/>
      <c r="BW213" s="21"/>
      <c r="BX213" s="21"/>
      <c r="BY213" s="21"/>
      <c r="BZ213" s="21"/>
      <c r="CA213" s="21"/>
      <c r="CB213" s="21"/>
      <c r="CC213" s="21"/>
      <c r="CD213" s="21"/>
      <c r="CE213" s="21"/>
      <c r="CF213" s="21"/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  <c r="CQ213" s="21"/>
      <c r="CR213" s="21"/>
      <c r="CS213" s="21"/>
      <c r="CT213" s="21"/>
    </row>
    <row r="214" spans="1:98" s="110" customFormat="1" outlineLevel="1" x14ac:dyDescent="0.3">
      <c r="A214" s="110" t="s">
        <v>351</v>
      </c>
      <c r="B214" s="117" t="s">
        <v>352</v>
      </c>
      <c r="C214" s="117" t="str">
        <f t="shared" si="2"/>
        <v>KG Kyrgyzstan CCC: 0,672</v>
      </c>
      <c r="D214" s="118">
        <v>0.67200000000000004</v>
      </c>
      <c r="E214" s="110" t="s">
        <v>195</v>
      </c>
      <c r="F214" s="21"/>
      <c r="G214"/>
      <c r="H214" s="250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1"/>
      <c r="BP214" s="21"/>
      <c r="BQ214" s="21"/>
      <c r="BR214" s="21"/>
      <c r="BS214" s="21"/>
      <c r="BT214" s="21"/>
      <c r="BU214" s="21"/>
      <c r="BV214" s="21"/>
      <c r="BW214" s="21"/>
      <c r="BX214" s="21"/>
      <c r="BY214" s="21"/>
      <c r="BZ214" s="21"/>
      <c r="CA214" s="21"/>
      <c r="CB214" s="21"/>
      <c r="CC214" s="21"/>
      <c r="CD214" s="21"/>
      <c r="CE214" s="21"/>
      <c r="CF214" s="21"/>
      <c r="CG214" s="21"/>
      <c r="CH214" s="21"/>
      <c r="CI214" s="21"/>
      <c r="CJ214" s="21"/>
      <c r="CK214" s="21"/>
      <c r="CL214" s="21"/>
      <c r="CM214" s="21"/>
      <c r="CN214" s="21"/>
      <c r="CO214" s="21"/>
      <c r="CP214" s="21"/>
      <c r="CQ214" s="21"/>
      <c r="CR214" s="21"/>
      <c r="CS214" s="21"/>
      <c r="CT214" s="21"/>
    </row>
    <row r="215" spans="1:98" s="110" customFormat="1" outlineLevel="1" x14ac:dyDescent="0.3">
      <c r="A215" s="110" t="s">
        <v>353</v>
      </c>
      <c r="B215" s="117" t="s">
        <v>354</v>
      </c>
      <c r="C215" s="117" t="str">
        <f t="shared" si="2"/>
        <v>LA Lao People's Democratic Republic (the) CCC: 0,819</v>
      </c>
      <c r="D215" s="118">
        <v>0.81899999999999995</v>
      </c>
      <c r="E215" s="110" t="s">
        <v>195</v>
      </c>
      <c r="F215" s="21"/>
      <c r="G215" s="251"/>
      <c r="H215" s="252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1"/>
      <c r="BO215" s="21"/>
      <c r="BP215" s="21"/>
      <c r="BQ215" s="21"/>
      <c r="BR215" s="21"/>
      <c r="BS215" s="21"/>
      <c r="BT215" s="21"/>
      <c r="BU215" s="21"/>
      <c r="BV215" s="21"/>
      <c r="BW215" s="21"/>
      <c r="BX215" s="21"/>
      <c r="BY215" s="21"/>
      <c r="BZ215" s="21"/>
      <c r="CA215" s="21"/>
      <c r="CB215" s="21"/>
      <c r="CC215" s="21"/>
      <c r="CD215" s="21"/>
      <c r="CE215" s="21"/>
      <c r="CF215" s="21"/>
      <c r="CG215" s="21"/>
      <c r="CH215" s="21"/>
      <c r="CI215" s="21"/>
      <c r="CJ215" s="21"/>
      <c r="CK215" s="21"/>
      <c r="CL215" s="21"/>
      <c r="CM215" s="21"/>
      <c r="CN215" s="21"/>
      <c r="CO215" s="21"/>
      <c r="CP215" s="21"/>
      <c r="CQ215" s="21"/>
      <c r="CR215" s="21"/>
      <c r="CS215" s="21"/>
      <c r="CT215" s="21"/>
    </row>
    <row r="216" spans="1:98" s="110" customFormat="1" outlineLevel="1" x14ac:dyDescent="0.3">
      <c r="A216" s="110" t="s">
        <v>355</v>
      </c>
      <c r="B216" s="117" t="s">
        <v>356</v>
      </c>
      <c r="C216" s="117" t="str">
        <f t="shared" si="2"/>
        <v>LV Latvia CCC: 0,693</v>
      </c>
      <c r="D216" s="118">
        <v>0.69299999999999995</v>
      </c>
      <c r="E216" s="110" t="s">
        <v>206</v>
      </c>
      <c r="F216" s="21"/>
      <c r="G216"/>
      <c r="H216" s="250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21"/>
      <c r="BR216" s="21"/>
      <c r="BS216" s="21"/>
      <c r="BT216" s="21"/>
      <c r="BU216" s="21"/>
      <c r="BV216" s="21"/>
      <c r="BW216" s="21"/>
      <c r="BX216" s="21"/>
      <c r="BY216" s="21"/>
      <c r="BZ216" s="21"/>
      <c r="CA216" s="21"/>
      <c r="CB216" s="21"/>
      <c r="CC216" s="21"/>
      <c r="CD216" s="21"/>
      <c r="CE216" s="21"/>
      <c r="CF216" s="21"/>
      <c r="CG216" s="21"/>
      <c r="CH216" s="21"/>
      <c r="CI216" s="21"/>
      <c r="CJ216" s="21"/>
      <c r="CK216" s="21"/>
      <c r="CL216" s="21"/>
      <c r="CM216" s="21"/>
      <c r="CN216" s="21"/>
      <c r="CO216" s="21"/>
      <c r="CP216" s="21"/>
      <c r="CQ216" s="21"/>
      <c r="CR216" s="21"/>
      <c r="CS216" s="21"/>
      <c r="CT216" s="21"/>
    </row>
    <row r="217" spans="1:98" s="110" customFormat="1" outlineLevel="1" x14ac:dyDescent="0.3">
      <c r="A217" s="110" t="s">
        <v>357</v>
      </c>
      <c r="B217" s="117" t="s">
        <v>358</v>
      </c>
      <c r="C217" s="117" t="str">
        <f t="shared" si="2"/>
        <v>LB Lebanon CCC: 1,06</v>
      </c>
      <c r="D217" s="118">
        <v>1.06</v>
      </c>
      <c r="E217" s="110" t="s">
        <v>195</v>
      </c>
      <c r="F217" s="21"/>
      <c r="G217"/>
      <c r="H217" s="250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1"/>
      <c r="BP217" s="21"/>
      <c r="BQ217" s="21"/>
      <c r="BR217" s="21"/>
      <c r="BS217" s="21"/>
      <c r="BT217" s="21"/>
      <c r="BU217" s="21"/>
      <c r="BV217" s="21"/>
      <c r="BW217" s="21"/>
      <c r="BX217" s="21"/>
      <c r="BY217" s="21"/>
      <c r="BZ217" s="21"/>
      <c r="CA217" s="21"/>
      <c r="CB217" s="21"/>
      <c r="CC217" s="21"/>
      <c r="CD217" s="21"/>
      <c r="CE217" s="21"/>
      <c r="CF217" s="21"/>
      <c r="CG217" s="21"/>
      <c r="CH217" s="21"/>
      <c r="CI217" s="21"/>
      <c r="CJ217" s="21"/>
      <c r="CK217" s="21"/>
      <c r="CL217" s="21"/>
      <c r="CM217" s="21"/>
      <c r="CN217" s="21"/>
      <c r="CO217" s="21"/>
      <c r="CP217" s="21"/>
      <c r="CQ217" s="21"/>
      <c r="CR217" s="21"/>
      <c r="CS217" s="21"/>
      <c r="CT217" s="21"/>
    </row>
    <row r="218" spans="1:98" s="110" customFormat="1" outlineLevel="1" x14ac:dyDescent="0.3">
      <c r="A218" s="110" t="s">
        <v>359</v>
      </c>
      <c r="B218" s="117" t="s">
        <v>360</v>
      </c>
      <c r="C218" s="117" t="str">
        <f t="shared" si="2"/>
        <v>LS Lesotho CCC: 0,513</v>
      </c>
      <c r="D218" s="118">
        <v>0.51300000000000001</v>
      </c>
      <c r="E218" s="110" t="s">
        <v>195</v>
      </c>
      <c r="F218" s="21"/>
      <c r="G218"/>
      <c r="H218" s="250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  <c r="BO218" s="21"/>
      <c r="BP218" s="21"/>
      <c r="BQ218" s="21"/>
      <c r="BR218" s="21"/>
      <c r="BS218" s="21"/>
      <c r="BT218" s="21"/>
      <c r="BU218" s="21"/>
      <c r="BV218" s="21"/>
      <c r="BW218" s="21"/>
      <c r="BX218" s="21"/>
      <c r="BY218" s="21"/>
      <c r="BZ218" s="21"/>
      <c r="CA218" s="21"/>
      <c r="CB218" s="21"/>
      <c r="CC218" s="21"/>
      <c r="CD218" s="21"/>
      <c r="CE218" s="21"/>
      <c r="CF218" s="21"/>
      <c r="CG218" s="21"/>
      <c r="CH218" s="21"/>
      <c r="CI218" s="21"/>
      <c r="CJ218" s="21"/>
      <c r="CK218" s="21"/>
      <c r="CL218" s="21"/>
      <c r="CM218" s="21"/>
      <c r="CN218" s="21"/>
      <c r="CO218" s="21"/>
      <c r="CP218" s="21"/>
      <c r="CQ218" s="21"/>
      <c r="CR218" s="21"/>
      <c r="CS218" s="21"/>
      <c r="CT218" s="21"/>
    </row>
    <row r="219" spans="1:98" s="110" customFormat="1" outlineLevel="1" x14ac:dyDescent="0.3">
      <c r="A219" s="110" t="s">
        <v>361</v>
      </c>
      <c r="B219" s="117" t="s">
        <v>362</v>
      </c>
      <c r="C219" s="117" t="str">
        <f t="shared" si="2"/>
        <v>LR Liberia CCC: 1,365</v>
      </c>
      <c r="D219" s="118">
        <v>1.365</v>
      </c>
      <c r="E219" s="110" t="s">
        <v>195</v>
      </c>
      <c r="F219" s="21"/>
      <c r="G219" s="251"/>
      <c r="H219" s="252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1"/>
      <c r="BO219" s="21"/>
      <c r="BP219" s="21"/>
      <c r="BQ219" s="21"/>
      <c r="BR219" s="21"/>
      <c r="BS219" s="21"/>
      <c r="BT219" s="21"/>
      <c r="BU219" s="21"/>
      <c r="BV219" s="21"/>
      <c r="BW219" s="21"/>
      <c r="BX219" s="21"/>
      <c r="BY219" s="21"/>
      <c r="BZ219" s="21"/>
      <c r="CA219" s="21"/>
      <c r="CB219" s="21"/>
      <c r="CC219" s="21"/>
      <c r="CD219" s="21"/>
      <c r="CE219" s="21"/>
      <c r="CF219" s="21"/>
      <c r="CG219" s="21"/>
      <c r="CH219" s="21"/>
      <c r="CI219" s="21"/>
      <c r="CJ219" s="21"/>
      <c r="CK219" s="21"/>
      <c r="CL219" s="21"/>
      <c r="CM219" s="21"/>
      <c r="CN219" s="21"/>
      <c r="CO219" s="21"/>
      <c r="CP219" s="21"/>
      <c r="CQ219" s="21"/>
      <c r="CR219" s="21"/>
      <c r="CS219" s="21"/>
      <c r="CT219" s="21"/>
    </row>
    <row r="220" spans="1:98" s="110" customFormat="1" outlineLevel="1" x14ac:dyDescent="0.3">
      <c r="A220" s="110" t="s">
        <v>363</v>
      </c>
      <c r="B220" s="117" t="s">
        <v>364</v>
      </c>
      <c r="C220" s="117" t="str">
        <f t="shared" si="2"/>
        <v xml:space="preserve">LY Libya CCC: </v>
      </c>
      <c r="D220" s="118"/>
      <c r="E220" s="110" t="s">
        <v>195</v>
      </c>
      <c r="F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  <c r="BO220" s="21"/>
      <c r="BP220" s="21"/>
      <c r="BQ220" s="21"/>
      <c r="BR220" s="21"/>
      <c r="BS220" s="21"/>
      <c r="BT220" s="21"/>
      <c r="BU220" s="21"/>
      <c r="BV220" s="21"/>
      <c r="BW220" s="21"/>
      <c r="BX220" s="21"/>
      <c r="BY220" s="21"/>
      <c r="BZ220" s="21"/>
      <c r="CA220" s="21"/>
      <c r="CB220" s="21"/>
      <c r="CC220" s="21"/>
      <c r="CD220" s="21"/>
      <c r="CE220" s="21"/>
      <c r="CF220" s="21"/>
      <c r="CG220" s="21"/>
      <c r="CH220" s="21"/>
      <c r="CI220" s="21"/>
      <c r="CJ220" s="21"/>
      <c r="CK220" s="21"/>
      <c r="CL220" s="21"/>
      <c r="CM220" s="21"/>
      <c r="CN220" s="21"/>
      <c r="CO220" s="21"/>
      <c r="CP220" s="21"/>
      <c r="CQ220" s="21"/>
      <c r="CR220" s="21"/>
      <c r="CS220" s="21"/>
      <c r="CT220" s="21"/>
    </row>
    <row r="221" spans="1:98" s="110" customFormat="1" outlineLevel="1" x14ac:dyDescent="0.3">
      <c r="A221" s="110" t="s">
        <v>365</v>
      </c>
      <c r="B221" s="117" t="s">
        <v>366</v>
      </c>
      <c r="C221" s="117" t="str">
        <f t="shared" si="2"/>
        <v>LI Liechtenstein CCC: 1,173</v>
      </c>
      <c r="D221" s="118">
        <v>1.173</v>
      </c>
      <c r="E221" s="110" t="s">
        <v>195</v>
      </c>
      <c r="F221" s="21"/>
      <c r="G221" s="251"/>
      <c r="H221" s="252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1"/>
      <c r="BO221" s="21"/>
      <c r="BP221" s="21"/>
      <c r="BQ221" s="21"/>
      <c r="BR221" s="21"/>
      <c r="BS221" s="21"/>
      <c r="BT221" s="21"/>
      <c r="BU221" s="21"/>
      <c r="BV221" s="21"/>
      <c r="BW221" s="21"/>
      <c r="BX221" s="21"/>
      <c r="BY221" s="21"/>
      <c r="BZ221" s="21"/>
      <c r="CA221" s="21"/>
      <c r="CB221" s="21"/>
      <c r="CC221" s="21"/>
      <c r="CD221" s="21"/>
      <c r="CE221" s="21"/>
      <c r="CF221" s="21"/>
      <c r="CG221" s="21"/>
      <c r="CH221" s="21"/>
      <c r="CI221" s="21"/>
      <c r="CJ221" s="21"/>
      <c r="CK221" s="21"/>
      <c r="CL221" s="21"/>
      <c r="CM221" s="21"/>
      <c r="CN221" s="21"/>
      <c r="CO221" s="21"/>
      <c r="CP221" s="21"/>
      <c r="CQ221" s="21"/>
      <c r="CR221" s="21"/>
      <c r="CS221" s="21"/>
      <c r="CT221" s="21"/>
    </row>
    <row r="222" spans="1:98" s="110" customFormat="1" outlineLevel="1" x14ac:dyDescent="0.3">
      <c r="A222" s="110" t="s">
        <v>367</v>
      </c>
      <c r="B222" s="117" t="s">
        <v>368</v>
      </c>
      <c r="C222" s="117" t="str">
        <f t="shared" si="2"/>
        <v>LT Lithuania CCC: 0,664</v>
      </c>
      <c r="D222" s="118">
        <v>0.66400000000000003</v>
      </c>
      <c r="E222" s="110" t="s">
        <v>206</v>
      </c>
      <c r="F222" s="21"/>
      <c r="G222"/>
      <c r="H222" s="250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1"/>
      <c r="BP222" s="21"/>
      <c r="BQ222" s="21"/>
      <c r="BR222" s="21"/>
      <c r="BS222" s="21"/>
      <c r="BT222" s="21"/>
      <c r="BU222" s="21"/>
      <c r="BV222" s="21"/>
      <c r="BW222" s="21"/>
      <c r="BX222" s="21"/>
      <c r="BY222" s="21"/>
      <c r="BZ222" s="21"/>
      <c r="CA222" s="21"/>
      <c r="CB222" s="21"/>
      <c r="CC222" s="21"/>
      <c r="CD222" s="21"/>
      <c r="CE222" s="21"/>
      <c r="CF222" s="21"/>
      <c r="CG222" s="21"/>
      <c r="CH222" s="21"/>
      <c r="CI222" s="21"/>
      <c r="CJ222" s="21"/>
      <c r="CK222" s="21"/>
      <c r="CL222" s="21"/>
      <c r="CM222" s="21"/>
      <c r="CN222" s="21"/>
      <c r="CO222" s="21"/>
      <c r="CP222" s="21"/>
      <c r="CQ222" s="21"/>
      <c r="CR222" s="21"/>
      <c r="CS222" s="21"/>
      <c r="CT222" s="21"/>
    </row>
    <row r="223" spans="1:98" s="110" customFormat="1" outlineLevel="1" x14ac:dyDescent="0.3">
      <c r="A223" s="110" t="s">
        <v>369</v>
      </c>
      <c r="B223" s="117" t="s">
        <v>370</v>
      </c>
      <c r="C223" s="117" t="str">
        <f t="shared" si="2"/>
        <v>LU Luxembourg CCC: 0,912</v>
      </c>
      <c r="D223" s="118">
        <v>0.91200000000000003</v>
      </c>
      <c r="E223" s="110" t="s">
        <v>206</v>
      </c>
      <c r="F223" s="21"/>
      <c r="G223" s="251"/>
      <c r="H223" s="252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1"/>
      <c r="BP223" s="21"/>
      <c r="BQ223" s="21"/>
      <c r="BR223" s="21"/>
      <c r="BS223" s="21"/>
      <c r="BT223" s="21"/>
      <c r="BU223" s="21"/>
      <c r="BV223" s="21"/>
      <c r="BW223" s="21"/>
      <c r="BX223" s="21"/>
      <c r="BY223" s="21"/>
      <c r="BZ223" s="21"/>
      <c r="CA223" s="21"/>
      <c r="CB223" s="21"/>
      <c r="CC223" s="21"/>
      <c r="CD223" s="21"/>
      <c r="CE223" s="21"/>
      <c r="CF223" s="21"/>
      <c r="CG223" s="21"/>
      <c r="CH223" s="21"/>
      <c r="CI223" s="21"/>
      <c r="CJ223" s="21"/>
      <c r="CK223" s="21"/>
      <c r="CL223" s="21"/>
      <c r="CM223" s="21"/>
      <c r="CN223" s="21"/>
      <c r="CO223" s="21"/>
      <c r="CP223" s="21"/>
      <c r="CQ223" s="21"/>
      <c r="CR223" s="21"/>
      <c r="CS223" s="21"/>
      <c r="CT223" s="21"/>
    </row>
    <row r="224" spans="1:98" s="110" customFormat="1" outlineLevel="1" x14ac:dyDescent="0.3">
      <c r="A224" s="110" t="s">
        <v>371</v>
      </c>
      <c r="B224" s="117" t="s">
        <v>372</v>
      </c>
      <c r="C224" s="117" t="str">
        <f t="shared" si="2"/>
        <v>MG Madagascar CCC: 0,781</v>
      </c>
      <c r="D224" s="118">
        <v>0.78100000000000003</v>
      </c>
      <c r="E224" s="110" t="s">
        <v>195</v>
      </c>
      <c r="F224" s="21"/>
      <c r="G224"/>
      <c r="H224" s="250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  <c r="BO224" s="21"/>
      <c r="BP224" s="21"/>
      <c r="BQ224" s="21"/>
      <c r="BR224" s="21"/>
      <c r="BS224" s="21"/>
      <c r="BT224" s="21"/>
      <c r="BU224" s="21"/>
      <c r="BV224" s="21"/>
      <c r="BW224" s="21"/>
      <c r="BX224" s="21"/>
      <c r="BY224" s="21"/>
      <c r="BZ224" s="21"/>
      <c r="CA224" s="21"/>
      <c r="CB224" s="21"/>
      <c r="CC224" s="21"/>
      <c r="CD224" s="21"/>
      <c r="CE224" s="21"/>
      <c r="CF224" s="21"/>
      <c r="CG224" s="21"/>
      <c r="CH224" s="21"/>
      <c r="CI224" s="21"/>
      <c r="CJ224" s="21"/>
      <c r="CK224" s="21"/>
      <c r="CL224" s="21"/>
      <c r="CM224" s="21"/>
      <c r="CN224" s="21"/>
      <c r="CO224" s="21"/>
      <c r="CP224" s="21"/>
      <c r="CQ224" s="21"/>
      <c r="CR224" s="21"/>
      <c r="CS224" s="21"/>
      <c r="CT224" s="21"/>
    </row>
    <row r="225" spans="1:98" s="110" customFormat="1" outlineLevel="1" x14ac:dyDescent="0.3">
      <c r="A225" s="110" t="s">
        <v>373</v>
      </c>
      <c r="B225" s="117" t="s">
        <v>374</v>
      </c>
      <c r="C225" s="117" t="str">
        <f t="shared" si="2"/>
        <v>MW Malawi CCC: 0,556</v>
      </c>
      <c r="D225" s="118">
        <v>0.55600000000000005</v>
      </c>
      <c r="E225" s="110" t="s">
        <v>195</v>
      </c>
      <c r="F225" s="21"/>
      <c r="G225"/>
      <c r="H225" s="250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  <c r="BO225" s="21"/>
      <c r="BP225" s="21"/>
      <c r="BQ225" s="21"/>
      <c r="BR225" s="21"/>
      <c r="BS225" s="21"/>
      <c r="BT225" s="21"/>
      <c r="BU225" s="21"/>
      <c r="BV225" s="21"/>
      <c r="BW225" s="21"/>
      <c r="BX225" s="21"/>
      <c r="BY225" s="21"/>
      <c r="BZ225" s="21"/>
      <c r="CA225" s="21"/>
      <c r="CB225" s="21"/>
      <c r="CC225" s="21"/>
      <c r="CD225" s="21"/>
      <c r="CE225" s="21"/>
      <c r="CF225" s="21"/>
      <c r="CG225" s="21"/>
      <c r="CH225" s="21"/>
      <c r="CI225" s="21"/>
      <c r="CJ225" s="21"/>
      <c r="CK225" s="21"/>
      <c r="CL225" s="21"/>
      <c r="CM225" s="21"/>
      <c r="CN225" s="21"/>
      <c r="CO225" s="21"/>
      <c r="CP225" s="21"/>
      <c r="CQ225" s="21"/>
      <c r="CR225" s="21"/>
      <c r="CS225" s="21"/>
      <c r="CT225" s="21"/>
    </row>
    <row r="226" spans="1:98" s="110" customFormat="1" outlineLevel="1" x14ac:dyDescent="0.3">
      <c r="A226" s="110" t="s">
        <v>375</v>
      </c>
      <c r="B226" s="117" t="s">
        <v>376</v>
      </c>
      <c r="C226" s="117" t="str">
        <f t="shared" si="2"/>
        <v>MY Malaysia CCC: 0,613</v>
      </c>
      <c r="D226" s="118">
        <v>0.61299999999999999</v>
      </c>
      <c r="E226" s="110" t="s">
        <v>195</v>
      </c>
      <c r="F226" s="21"/>
      <c r="G226"/>
      <c r="H226" s="250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  <c r="BO226" s="21"/>
      <c r="BP226" s="21"/>
      <c r="BQ226" s="21"/>
      <c r="BR226" s="21"/>
      <c r="BS226" s="21"/>
      <c r="BT226" s="21"/>
      <c r="BU226" s="21"/>
      <c r="BV226" s="21"/>
      <c r="BW226" s="21"/>
      <c r="BX226" s="21"/>
      <c r="BY226" s="21"/>
      <c r="BZ226" s="21"/>
      <c r="CA226" s="21"/>
      <c r="CB226" s="21"/>
      <c r="CC226" s="21"/>
      <c r="CD226" s="21"/>
      <c r="CE226" s="21"/>
      <c r="CF226" s="21"/>
      <c r="CG226" s="21"/>
      <c r="CH226" s="21"/>
      <c r="CI226" s="21"/>
      <c r="CJ226" s="21"/>
      <c r="CK226" s="21"/>
      <c r="CL226" s="21"/>
      <c r="CM226" s="21"/>
      <c r="CN226" s="21"/>
      <c r="CO226" s="21"/>
      <c r="CP226" s="21"/>
      <c r="CQ226" s="21"/>
      <c r="CR226" s="21"/>
      <c r="CS226" s="21"/>
      <c r="CT226" s="21"/>
    </row>
    <row r="227" spans="1:98" s="110" customFormat="1" outlineLevel="1" x14ac:dyDescent="0.3">
      <c r="A227" s="110" t="s">
        <v>377</v>
      </c>
      <c r="B227" s="117" t="s">
        <v>378</v>
      </c>
      <c r="C227" s="117" t="str">
        <f t="shared" si="2"/>
        <v>ML Mali CCC: 0,821</v>
      </c>
      <c r="D227" s="118">
        <v>0.82099999999999995</v>
      </c>
      <c r="E227" s="110" t="s">
        <v>195</v>
      </c>
      <c r="F227" s="21"/>
      <c r="G227"/>
      <c r="H227" s="250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  <c r="BU227" s="21"/>
      <c r="BV227" s="21"/>
      <c r="BW227" s="21"/>
      <c r="BX227" s="21"/>
      <c r="BY227" s="21"/>
      <c r="BZ227" s="21"/>
      <c r="CA227" s="21"/>
      <c r="CB227" s="21"/>
      <c r="CC227" s="21"/>
      <c r="CD227" s="21"/>
      <c r="CE227" s="21"/>
      <c r="CF227" s="21"/>
      <c r="CG227" s="21"/>
      <c r="CH227" s="21"/>
      <c r="CI227" s="21"/>
      <c r="CJ227" s="21"/>
      <c r="CK227" s="21"/>
      <c r="CL227" s="21"/>
      <c r="CM227" s="21"/>
      <c r="CN227" s="21"/>
      <c r="CO227" s="21"/>
      <c r="CP227" s="21"/>
      <c r="CQ227" s="21"/>
      <c r="CR227" s="21"/>
      <c r="CS227" s="21"/>
      <c r="CT227" s="21"/>
    </row>
    <row r="228" spans="1:98" s="110" customFormat="1" outlineLevel="1" x14ac:dyDescent="0.3">
      <c r="A228" s="110" t="s">
        <v>379</v>
      </c>
      <c r="B228" s="117" t="s">
        <v>380</v>
      </c>
      <c r="C228" s="117" t="str">
        <f t="shared" si="2"/>
        <v>MT Malta CCC: 0,804</v>
      </c>
      <c r="D228" s="118">
        <v>0.80400000000000005</v>
      </c>
      <c r="E228" s="110" t="s">
        <v>206</v>
      </c>
      <c r="F228" s="21"/>
      <c r="G228" s="251"/>
      <c r="H228" s="252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  <c r="BU228" s="21"/>
      <c r="BV228" s="21"/>
      <c r="BW228" s="21"/>
      <c r="BX228" s="21"/>
      <c r="BY228" s="21"/>
      <c r="BZ228" s="21"/>
      <c r="CA228" s="21"/>
      <c r="CB228" s="21"/>
      <c r="CC228" s="21"/>
      <c r="CD228" s="21"/>
      <c r="CE228" s="21"/>
      <c r="CF228" s="21"/>
      <c r="CG228" s="21"/>
      <c r="CH228" s="21"/>
      <c r="CI228" s="21"/>
      <c r="CJ228" s="21"/>
      <c r="CK228" s="21"/>
      <c r="CL228" s="21"/>
      <c r="CM228" s="21"/>
      <c r="CN228" s="21"/>
      <c r="CO228" s="21"/>
      <c r="CP228" s="21"/>
      <c r="CQ228" s="21"/>
      <c r="CR228" s="21"/>
      <c r="CS228" s="21"/>
      <c r="CT228" s="21"/>
    </row>
    <row r="229" spans="1:98" s="110" customFormat="1" outlineLevel="1" x14ac:dyDescent="0.3">
      <c r="A229" s="110" t="s">
        <v>381</v>
      </c>
      <c r="B229" s="117" t="s">
        <v>382</v>
      </c>
      <c r="C229" s="117" t="str">
        <f t="shared" si="2"/>
        <v>MR Mauritania CCC: 0,621</v>
      </c>
      <c r="D229" s="118">
        <v>0.621</v>
      </c>
      <c r="E229" s="110" t="s">
        <v>195</v>
      </c>
      <c r="F229" s="21"/>
      <c r="G229"/>
      <c r="H229" s="250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  <c r="BU229" s="21"/>
      <c r="BV229" s="21"/>
      <c r="BW229" s="21"/>
      <c r="BX229" s="21"/>
      <c r="BY229" s="21"/>
      <c r="BZ229" s="21"/>
      <c r="CA229" s="21"/>
      <c r="CB229" s="21"/>
      <c r="CC229" s="21"/>
      <c r="CD229" s="21"/>
      <c r="CE229" s="21"/>
      <c r="CF229" s="21"/>
      <c r="CG229" s="21"/>
      <c r="CH229" s="21"/>
      <c r="CI229" s="21"/>
      <c r="CJ229" s="21"/>
      <c r="CK229" s="21"/>
      <c r="CL229" s="21"/>
      <c r="CM229" s="21"/>
      <c r="CN229" s="21"/>
      <c r="CO229" s="21"/>
      <c r="CP229" s="21"/>
      <c r="CQ229" s="21"/>
      <c r="CR229" s="21"/>
      <c r="CS229" s="21"/>
      <c r="CT229" s="21"/>
    </row>
    <row r="230" spans="1:98" s="110" customFormat="1" outlineLevel="1" x14ac:dyDescent="0.3">
      <c r="A230" s="110" t="s">
        <v>383</v>
      </c>
      <c r="B230" s="117" t="s">
        <v>384</v>
      </c>
      <c r="C230" s="117" t="str">
        <f t="shared" si="2"/>
        <v>MU Mauritius CCC: 0,669</v>
      </c>
      <c r="D230" s="118">
        <v>0.66900000000000004</v>
      </c>
      <c r="E230" s="110" t="s">
        <v>195</v>
      </c>
      <c r="F230" s="21"/>
      <c r="G230" s="251"/>
      <c r="H230" s="252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  <c r="BU230" s="21"/>
      <c r="BV230" s="21"/>
      <c r="BW230" s="21"/>
      <c r="BX230" s="21"/>
      <c r="BY230" s="21"/>
      <c r="BZ230" s="21"/>
      <c r="CA230" s="21"/>
      <c r="CB230" s="21"/>
      <c r="CC230" s="21"/>
      <c r="CD230" s="21"/>
      <c r="CE230" s="21"/>
      <c r="CF230" s="21"/>
      <c r="CG230" s="21"/>
      <c r="CH230" s="21"/>
      <c r="CI230" s="21"/>
      <c r="CJ230" s="21"/>
      <c r="CK230" s="21"/>
      <c r="CL230" s="21"/>
      <c r="CM230" s="21"/>
      <c r="CN230" s="21"/>
      <c r="CO230" s="21"/>
      <c r="CP230" s="21"/>
      <c r="CQ230" s="21"/>
      <c r="CR230" s="21"/>
      <c r="CS230" s="21"/>
      <c r="CT230" s="21"/>
    </row>
    <row r="231" spans="1:98" s="110" customFormat="1" outlineLevel="1" x14ac:dyDescent="0.3">
      <c r="A231" s="110" t="s">
        <v>385</v>
      </c>
      <c r="B231" s="117" t="s">
        <v>386</v>
      </c>
      <c r="C231" s="117" t="str">
        <f t="shared" ref="C231:C262" si="3">A231&amp;" "&amp;B231&amp;" "&amp;"CCC: "&amp;D231</f>
        <v>MX Mexico CCC: 0,55</v>
      </c>
      <c r="D231" s="118">
        <v>0.55000000000000004</v>
      </c>
      <c r="E231" s="110" t="s">
        <v>195</v>
      </c>
      <c r="F231" s="21"/>
      <c r="G231" s="251"/>
      <c r="H231" s="252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1"/>
      <c r="BP231" s="21"/>
      <c r="BQ231" s="21"/>
      <c r="BR231" s="21"/>
      <c r="BS231" s="21"/>
      <c r="BT231" s="21"/>
      <c r="BU231" s="21"/>
      <c r="BV231" s="21"/>
      <c r="BW231" s="21"/>
      <c r="BX231" s="21"/>
      <c r="BY231" s="21"/>
      <c r="BZ231" s="21"/>
      <c r="CA231" s="21"/>
      <c r="CB231" s="21"/>
      <c r="CC231" s="21"/>
      <c r="CD231" s="21"/>
      <c r="CE231" s="21"/>
      <c r="CF231" s="21"/>
      <c r="CG231" s="21"/>
      <c r="CH231" s="21"/>
      <c r="CI231" s="21"/>
      <c r="CJ231" s="21"/>
      <c r="CK231" s="21"/>
      <c r="CL231" s="21"/>
      <c r="CM231" s="21"/>
      <c r="CN231" s="21"/>
      <c r="CO231" s="21"/>
      <c r="CP231" s="21"/>
      <c r="CQ231" s="21"/>
      <c r="CR231" s="21"/>
      <c r="CS231" s="21"/>
      <c r="CT231" s="21"/>
    </row>
    <row r="232" spans="1:98" s="110" customFormat="1" outlineLevel="1" x14ac:dyDescent="0.3">
      <c r="A232" s="110" t="s">
        <v>387</v>
      </c>
      <c r="B232" s="117" t="s">
        <v>388</v>
      </c>
      <c r="C232" s="117" t="str">
        <f t="shared" si="3"/>
        <v>MD Moldova (the Republic of) CCC: 0,577</v>
      </c>
      <c r="D232" s="118">
        <v>0.57699999999999996</v>
      </c>
      <c r="E232" s="110" t="s">
        <v>192</v>
      </c>
      <c r="F232" s="21"/>
      <c r="G232"/>
      <c r="H232" s="250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1"/>
      <c r="BP232" s="21"/>
      <c r="BQ232" s="21"/>
      <c r="BR232" s="21"/>
      <c r="BS232" s="21"/>
      <c r="BT232" s="21"/>
      <c r="BU232" s="21"/>
      <c r="BV232" s="21"/>
      <c r="BW232" s="21"/>
      <c r="BX232" s="21"/>
      <c r="BY232" s="21"/>
      <c r="BZ232" s="21"/>
      <c r="CA232" s="21"/>
      <c r="CB232" s="21"/>
      <c r="CC232" s="21"/>
      <c r="CD232" s="21"/>
      <c r="CE232" s="21"/>
      <c r="CF232" s="21"/>
      <c r="CG232" s="21"/>
      <c r="CH232" s="21"/>
      <c r="CI232" s="21"/>
      <c r="CJ232" s="21"/>
      <c r="CK232" s="21"/>
      <c r="CL232" s="21"/>
      <c r="CM232" s="21"/>
      <c r="CN232" s="21"/>
      <c r="CO232" s="21"/>
      <c r="CP232" s="21"/>
      <c r="CQ232" s="21"/>
      <c r="CR232" s="21"/>
      <c r="CS232" s="21"/>
      <c r="CT232" s="21"/>
    </row>
    <row r="233" spans="1:98" s="110" customFormat="1" outlineLevel="1" x14ac:dyDescent="0.3">
      <c r="A233" s="110" t="s">
        <v>389</v>
      </c>
      <c r="B233" s="117" t="s">
        <v>390</v>
      </c>
      <c r="C233" s="117" t="str">
        <f t="shared" si="3"/>
        <v>ME Montenegro CCC: 0,562</v>
      </c>
      <c r="D233" s="118">
        <v>0.56200000000000006</v>
      </c>
      <c r="E233" s="110" t="s">
        <v>192</v>
      </c>
      <c r="F233" s="21"/>
      <c r="G233" s="251"/>
      <c r="H233" s="252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  <c r="BO233" s="21"/>
      <c r="BP233" s="21"/>
      <c r="BQ233" s="21"/>
      <c r="BR233" s="21"/>
      <c r="BS233" s="21"/>
      <c r="BT233" s="21"/>
      <c r="BU233" s="21"/>
      <c r="BV233" s="21"/>
      <c r="BW233" s="21"/>
      <c r="BX233" s="21"/>
      <c r="BY233" s="21"/>
      <c r="BZ233" s="21"/>
      <c r="CA233" s="21"/>
      <c r="CB233" s="21"/>
      <c r="CC233" s="21"/>
      <c r="CD233" s="21"/>
      <c r="CE233" s="21"/>
      <c r="CF233" s="21"/>
      <c r="CG233" s="21"/>
      <c r="CH233" s="21"/>
      <c r="CI233" s="21"/>
      <c r="CJ233" s="21"/>
      <c r="CK233" s="21"/>
      <c r="CL233" s="21"/>
      <c r="CM233" s="21"/>
      <c r="CN233" s="21"/>
      <c r="CO233" s="21"/>
      <c r="CP233" s="21"/>
      <c r="CQ233" s="21"/>
      <c r="CR233" s="21"/>
      <c r="CS233" s="21"/>
      <c r="CT233" s="21"/>
    </row>
    <row r="234" spans="1:98" s="110" customFormat="1" outlineLevel="1" x14ac:dyDescent="0.3">
      <c r="A234" s="110" t="s">
        <v>391</v>
      </c>
      <c r="B234" s="117" t="s">
        <v>392</v>
      </c>
      <c r="C234" s="117" t="str">
        <f t="shared" si="3"/>
        <v>MA Morocco CCC: 0,662</v>
      </c>
      <c r="D234" s="118">
        <v>0.66200000000000003</v>
      </c>
      <c r="E234" s="110" t="s">
        <v>195</v>
      </c>
      <c r="F234" s="21"/>
      <c r="G234" s="251"/>
      <c r="H234" s="252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  <c r="BO234" s="21"/>
      <c r="BP234" s="21"/>
      <c r="BQ234" s="21"/>
      <c r="BR234" s="21"/>
      <c r="BS234" s="21"/>
      <c r="BT234" s="21"/>
      <c r="BU234" s="21"/>
      <c r="BV234" s="21"/>
      <c r="BW234" s="21"/>
      <c r="BX234" s="21"/>
      <c r="BY234" s="21"/>
      <c r="BZ234" s="21"/>
      <c r="CA234" s="21"/>
      <c r="CB234" s="21"/>
      <c r="CC234" s="21"/>
      <c r="CD234" s="21"/>
      <c r="CE234" s="21"/>
      <c r="CF234" s="21"/>
      <c r="CG234" s="21"/>
      <c r="CH234" s="21"/>
      <c r="CI234" s="21"/>
      <c r="CJ234" s="21"/>
      <c r="CK234" s="21"/>
      <c r="CL234" s="21"/>
      <c r="CM234" s="21"/>
      <c r="CN234" s="21"/>
      <c r="CO234" s="21"/>
      <c r="CP234" s="21"/>
      <c r="CQ234" s="21"/>
      <c r="CR234" s="21"/>
      <c r="CS234" s="21"/>
      <c r="CT234" s="21"/>
    </row>
    <row r="235" spans="1:98" s="110" customFormat="1" outlineLevel="1" x14ac:dyDescent="0.3">
      <c r="A235" s="110" t="s">
        <v>393</v>
      </c>
      <c r="B235" s="117" t="s">
        <v>394</v>
      </c>
      <c r="C235" s="117" t="str">
        <f t="shared" si="3"/>
        <v>MZ Mozambique CCC: 0,654</v>
      </c>
      <c r="D235" s="118">
        <v>0.65400000000000003</v>
      </c>
      <c r="E235" s="110" t="s">
        <v>195</v>
      </c>
      <c r="F235" s="21"/>
      <c r="G235" s="251"/>
      <c r="H235" s="252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1"/>
      <c r="BO235" s="21"/>
      <c r="BP235" s="21"/>
      <c r="BQ235" s="21"/>
      <c r="BR235" s="21"/>
      <c r="BS235" s="21"/>
      <c r="BT235" s="21"/>
      <c r="BU235" s="21"/>
      <c r="BV235" s="21"/>
      <c r="BW235" s="21"/>
      <c r="BX235" s="21"/>
      <c r="BY235" s="21"/>
      <c r="BZ235" s="21"/>
      <c r="CA235" s="21"/>
      <c r="CB235" s="21"/>
      <c r="CC235" s="21"/>
      <c r="CD235" s="21"/>
      <c r="CE235" s="21"/>
      <c r="CF235" s="21"/>
      <c r="CG235" s="21"/>
      <c r="CH235" s="21"/>
      <c r="CI235" s="21"/>
      <c r="CJ235" s="21"/>
      <c r="CK235" s="21"/>
      <c r="CL235" s="21"/>
      <c r="CM235" s="21"/>
      <c r="CN235" s="21"/>
      <c r="CO235" s="21"/>
      <c r="CP235" s="21"/>
      <c r="CQ235" s="21"/>
      <c r="CR235" s="21"/>
      <c r="CS235" s="21"/>
      <c r="CT235" s="21"/>
    </row>
    <row r="236" spans="1:98" s="110" customFormat="1" outlineLevel="1" x14ac:dyDescent="0.3">
      <c r="A236" s="110" t="s">
        <v>395</v>
      </c>
      <c r="B236" s="117" t="s">
        <v>396</v>
      </c>
      <c r="C236" s="117" t="str">
        <f t="shared" si="3"/>
        <v>MM Myanmar CCC: 0,611</v>
      </c>
      <c r="D236" s="118">
        <v>0.61099999999999999</v>
      </c>
      <c r="E236" s="110" t="s">
        <v>195</v>
      </c>
      <c r="F236" s="21"/>
      <c r="G236" s="251"/>
      <c r="H236" s="252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1"/>
      <c r="BP236" s="21"/>
      <c r="BQ236" s="21"/>
      <c r="BR236" s="21"/>
      <c r="BS236" s="21"/>
      <c r="BT236" s="21"/>
      <c r="BU236" s="21"/>
      <c r="BV236" s="21"/>
      <c r="BW236" s="21"/>
      <c r="BX236" s="21"/>
      <c r="BY236" s="21"/>
      <c r="BZ236" s="21"/>
      <c r="CA236" s="21"/>
      <c r="CB236" s="21"/>
      <c r="CC236" s="21"/>
      <c r="CD236" s="21"/>
      <c r="CE236" s="21"/>
      <c r="CF236" s="21"/>
      <c r="CG236" s="21"/>
      <c r="CH236" s="21"/>
      <c r="CI236" s="21"/>
      <c r="CJ236" s="21"/>
      <c r="CK236" s="21"/>
      <c r="CL236" s="21"/>
      <c r="CM236" s="21"/>
      <c r="CN236" s="21"/>
      <c r="CO236" s="21"/>
      <c r="CP236" s="21"/>
      <c r="CQ236" s="21"/>
      <c r="CR236" s="21"/>
      <c r="CS236" s="21"/>
      <c r="CT236" s="21"/>
    </row>
    <row r="237" spans="1:98" s="110" customFormat="1" outlineLevel="1" x14ac:dyDescent="0.3">
      <c r="A237" s="110" t="s">
        <v>397</v>
      </c>
      <c r="B237" s="117" t="s">
        <v>398</v>
      </c>
      <c r="C237" s="117" t="str">
        <f t="shared" si="3"/>
        <v>NA Namibia CCC: 0,61</v>
      </c>
      <c r="D237" s="118">
        <v>0.61</v>
      </c>
      <c r="E237" s="110" t="s">
        <v>195</v>
      </c>
      <c r="F237" s="21"/>
      <c r="G237"/>
      <c r="H237" s="250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  <c r="BO237" s="21"/>
      <c r="BP237" s="21"/>
      <c r="BQ237" s="21"/>
      <c r="BR237" s="21"/>
      <c r="BS237" s="21"/>
      <c r="BT237" s="21"/>
      <c r="BU237" s="21"/>
      <c r="BV237" s="21"/>
      <c r="BW237" s="21"/>
      <c r="BX237" s="21"/>
      <c r="BY237" s="21"/>
      <c r="BZ237" s="21"/>
      <c r="CA237" s="21"/>
      <c r="CB237" s="21"/>
      <c r="CC237" s="21"/>
      <c r="CD237" s="21"/>
      <c r="CE237" s="21"/>
      <c r="CF237" s="21"/>
      <c r="CG237" s="21"/>
      <c r="CH237" s="21"/>
      <c r="CI237" s="21"/>
      <c r="CJ237" s="21"/>
      <c r="CK237" s="21"/>
      <c r="CL237" s="21"/>
      <c r="CM237" s="21"/>
      <c r="CN237" s="21"/>
      <c r="CO237" s="21"/>
      <c r="CP237" s="21"/>
      <c r="CQ237" s="21"/>
      <c r="CR237" s="21"/>
      <c r="CS237" s="21"/>
      <c r="CT237" s="21"/>
    </row>
    <row r="238" spans="1:98" s="110" customFormat="1" outlineLevel="1" x14ac:dyDescent="0.3">
      <c r="A238" s="110" t="s">
        <v>399</v>
      </c>
      <c r="B238" s="117" t="s">
        <v>400</v>
      </c>
      <c r="C238" s="117" t="str">
        <f t="shared" si="3"/>
        <v>NP Nepal CCC: 0,801</v>
      </c>
      <c r="D238" s="118">
        <v>0.80100000000000005</v>
      </c>
      <c r="E238" s="110" t="s">
        <v>195</v>
      </c>
      <c r="F238" s="21"/>
      <c r="G238"/>
      <c r="H238" s="250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  <c r="BQ238" s="21"/>
      <c r="BR238" s="21"/>
      <c r="BS238" s="21"/>
      <c r="BT238" s="21"/>
      <c r="BU238" s="21"/>
      <c r="BV238" s="21"/>
      <c r="BW238" s="21"/>
      <c r="BX238" s="21"/>
      <c r="BY238" s="21"/>
      <c r="BZ238" s="21"/>
      <c r="CA238" s="21"/>
      <c r="CB238" s="21"/>
      <c r="CC238" s="21"/>
      <c r="CD238" s="21"/>
      <c r="CE238" s="21"/>
      <c r="CF238" s="21"/>
      <c r="CG238" s="21"/>
      <c r="CH238" s="21"/>
      <c r="CI238" s="21"/>
      <c r="CJ238" s="21"/>
      <c r="CK238" s="21"/>
      <c r="CL238" s="21"/>
      <c r="CM238" s="21"/>
      <c r="CN238" s="21"/>
      <c r="CO238" s="21"/>
      <c r="CP238" s="21"/>
      <c r="CQ238" s="21"/>
      <c r="CR238" s="21"/>
      <c r="CS238" s="21"/>
      <c r="CT238" s="21"/>
    </row>
    <row r="239" spans="1:98" s="110" customFormat="1" outlineLevel="1" x14ac:dyDescent="0.3">
      <c r="A239" s="110" t="s">
        <v>401</v>
      </c>
      <c r="B239" s="117" t="s">
        <v>402</v>
      </c>
      <c r="C239" s="117" t="str">
        <f t="shared" si="3"/>
        <v>NL Netherlands (the) CCC: 1</v>
      </c>
      <c r="D239" s="118">
        <v>1</v>
      </c>
      <c r="E239" s="110" t="s">
        <v>206</v>
      </c>
      <c r="F239" s="21"/>
      <c r="G239"/>
      <c r="H239" s="250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  <c r="BO239" s="21"/>
      <c r="BP239" s="21"/>
      <c r="BQ239" s="21"/>
      <c r="BR239" s="21"/>
      <c r="BS239" s="21"/>
      <c r="BT239" s="21"/>
      <c r="BU239" s="21"/>
      <c r="BV239" s="21"/>
      <c r="BW239" s="21"/>
      <c r="BX239" s="21"/>
      <c r="BY239" s="21"/>
      <c r="BZ239" s="21"/>
      <c r="CA239" s="21"/>
      <c r="CB239" s="21"/>
      <c r="CC239" s="21"/>
      <c r="CD239" s="21"/>
      <c r="CE239" s="21"/>
      <c r="CF239" s="21"/>
      <c r="CG239" s="21"/>
      <c r="CH239" s="21"/>
      <c r="CI239" s="21"/>
      <c r="CJ239" s="21"/>
      <c r="CK239" s="21"/>
      <c r="CL239" s="21"/>
      <c r="CM239" s="21"/>
      <c r="CN239" s="21"/>
      <c r="CO239" s="21"/>
      <c r="CP239" s="21"/>
      <c r="CQ239" s="21"/>
      <c r="CR239" s="21"/>
      <c r="CS239" s="21"/>
      <c r="CT239" s="21"/>
    </row>
    <row r="240" spans="1:98" s="110" customFormat="1" outlineLevel="1" x14ac:dyDescent="0.3">
      <c r="A240" s="110" t="s">
        <v>403</v>
      </c>
      <c r="B240" s="117" t="s">
        <v>404</v>
      </c>
      <c r="C240" s="117" t="str">
        <f t="shared" si="3"/>
        <v>NC New Caledonia CCC: 0,98</v>
      </c>
      <c r="D240" s="118">
        <v>0.98</v>
      </c>
      <c r="E240" s="110" t="s">
        <v>195</v>
      </c>
      <c r="F240" s="21"/>
      <c r="G240" s="251"/>
      <c r="H240" s="252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1"/>
      <c r="BO240" s="21"/>
      <c r="BP240" s="21"/>
      <c r="BQ240" s="21"/>
      <c r="BR240" s="21"/>
      <c r="BS240" s="21"/>
      <c r="BT240" s="21"/>
      <c r="BU240" s="21"/>
      <c r="BV240" s="21"/>
      <c r="BW240" s="21"/>
      <c r="BX240" s="21"/>
      <c r="BY240" s="21"/>
      <c r="BZ240" s="21"/>
      <c r="CA240" s="21"/>
      <c r="CB240" s="21"/>
      <c r="CC240" s="21"/>
      <c r="CD240" s="21"/>
      <c r="CE240" s="21"/>
      <c r="CF240" s="21"/>
      <c r="CG240" s="21"/>
      <c r="CH240" s="21"/>
      <c r="CI240" s="21"/>
      <c r="CJ240" s="21"/>
      <c r="CK240" s="21"/>
      <c r="CL240" s="21"/>
      <c r="CM240" s="21"/>
      <c r="CN240" s="21"/>
      <c r="CO240" s="21"/>
      <c r="CP240" s="21"/>
      <c r="CQ240" s="21"/>
      <c r="CR240" s="21"/>
      <c r="CS240" s="21"/>
      <c r="CT240" s="21"/>
    </row>
    <row r="241" spans="1:98" s="110" customFormat="1" outlineLevel="1" x14ac:dyDescent="0.3">
      <c r="A241" s="110" t="s">
        <v>405</v>
      </c>
      <c r="B241" s="117" t="s">
        <v>406</v>
      </c>
      <c r="C241" s="117" t="str">
        <f t="shared" si="3"/>
        <v>NZ New Zealand CCC: 0,902</v>
      </c>
      <c r="D241" s="118">
        <v>0.90200000000000002</v>
      </c>
      <c r="E241" s="110" t="s">
        <v>195</v>
      </c>
      <c r="F241" s="21"/>
      <c r="G241" s="251"/>
      <c r="H241" s="252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1"/>
      <c r="BO241" s="21"/>
      <c r="BP241" s="21"/>
      <c r="BQ241" s="21"/>
      <c r="BR241" s="21"/>
      <c r="BS241" s="21"/>
      <c r="BT241" s="21"/>
      <c r="BU241" s="21"/>
      <c r="BV241" s="21"/>
      <c r="BW241" s="21"/>
      <c r="BX241" s="21"/>
      <c r="BY241" s="21"/>
      <c r="BZ241" s="21"/>
      <c r="CA241" s="21"/>
      <c r="CB241" s="21"/>
      <c r="CC241" s="21"/>
      <c r="CD241" s="21"/>
      <c r="CE241" s="21"/>
      <c r="CF241" s="21"/>
      <c r="CG241" s="21"/>
      <c r="CH241" s="21"/>
      <c r="CI241" s="21"/>
      <c r="CJ241" s="21"/>
      <c r="CK241" s="21"/>
      <c r="CL241" s="21"/>
      <c r="CM241" s="21"/>
      <c r="CN241" s="21"/>
      <c r="CO241" s="21"/>
      <c r="CP241" s="21"/>
      <c r="CQ241" s="21"/>
      <c r="CR241" s="21"/>
      <c r="CS241" s="21"/>
      <c r="CT241" s="21"/>
    </row>
    <row r="242" spans="1:98" s="110" customFormat="1" outlineLevel="1" x14ac:dyDescent="0.3">
      <c r="A242" s="110" t="s">
        <v>407</v>
      </c>
      <c r="B242" s="117" t="s">
        <v>408</v>
      </c>
      <c r="C242" s="117" t="str">
        <f t="shared" si="3"/>
        <v>NI Nicaragua CCC: 0,614</v>
      </c>
      <c r="D242" s="118">
        <v>0.61399999999999999</v>
      </c>
      <c r="E242" s="110" t="s">
        <v>195</v>
      </c>
      <c r="F242" s="21"/>
      <c r="G242"/>
      <c r="H242" s="250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  <c r="BU242" s="21"/>
      <c r="BV242" s="21"/>
      <c r="BW242" s="21"/>
      <c r="BX242" s="21"/>
      <c r="BY242" s="21"/>
      <c r="BZ242" s="21"/>
      <c r="CA242" s="21"/>
      <c r="CB242" s="21"/>
      <c r="CC242" s="21"/>
      <c r="CD242" s="21"/>
      <c r="CE242" s="21"/>
      <c r="CF242" s="21"/>
      <c r="CG242" s="21"/>
      <c r="CH242" s="21"/>
      <c r="CI242" s="21"/>
      <c r="CJ242" s="21"/>
      <c r="CK242" s="21"/>
      <c r="CL242" s="21"/>
      <c r="CM242" s="21"/>
      <c r="CN242" s="21"/>
      <c r="CO242" s="21"/>
      <c r="CP242" s="21"/>
      <c r="CQ242" s="21"/>
      <c r="CR242" s="21"/>
      <c r="CS242" s="21"/>
      <c r="CT242" s="21"/>
    </row>
    <row r="243" spans="1:98" s="110" customFormat="1" outlineLevel="1" x14ac:dyDescent="0.3">
      <c r="A243" s="110" t="s">
        <v>409</v>
      </c>
      <c r="B243" s="117" t="s">
        <v>410</v>
      </c>
      <c r="C243" s="117" t="str">
        <f t="shared" si="3"/>
        <v>NE Niger (the) CCC: 0,73</v>
      </c>
      <c r="D243" s="118">
        <v>0.73</v>
      </c>
      <c r="E243" s="110" t="s">
        <v>195</v>
      </c>
      <c r="F243" s="21"/>
      <c r="G243"/>
      <c r="H243" s="250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  <c r="BO243" s="21"/>
      <c r="BP243" s="21"/>
      <c r="BQ243" s="21"/>
      <c r="BR243" s="21"/>
      <c r="BS243" s="21"/>
      <c r="BT243" s="21"/>
      <c r="BU243" s="21"/>
      <c r="BV243" s="21"/>
      <c r="BW243" s="21"/>
      <c r="BX243" s="21"/>
      <c r="BY243" s="21"/>
      <c r="BZ243" s="21"/>
      <c r="CA243" s="21"/>
      <c r="CB243" s="21"/>
      <c r="CC243" s="21"/>
      <c r="CD243" s="21"/>
      <c r="CE243" s="21"/>
      <c r="CF243" s="21"/>
      <c r="CG243" s="21"/>
      <c r="CH243" s="21"/>
      <c r="CI243" s="21"/>
      <c r="CJ243" s="21"/>
      <c r="CK243" s="21"/>
      <c r="CL243" s="21"/>
      <c r="CM243" s="21"/>
      <c r="CN243" s="21"/>
      <c r="CO243" s="21"/>
      <c r="CP243" s="21"/>
      <c r="CQ243" s="21"/>
      <c r="CR243" s="21"/>
      <c r="CS243" s="21"/>
      <c r="CT243" s="21"/>
    </row>
    <row r="244" spans="1:98" s="110" customFormat="1" outlineLevel="1" x14ac:dyDescent="0.3">
      <c r="A244" s="110" t="s">
        <v>411</v>
      </c>
      <c r="B244" s="117" t="s">
        <v>412</v>
      </c>
      <c r="C244" s="117" t="str">
        <f t="shared" si="3"/>
        <v>NG Nigeria CCC: 0,777</v>
      </c>
      <c r="D244" s="118">
        <v>0.77700000000000002</v>
      </c>
      <c r="E244" s="110" t="s">
        <v>195</v>
      </c>
      <c r="F244" s="21"/>
      <c r="G244" s="251"/>
      <c r="H244" s="252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  <c r="BO244" s="21"/>
      <c r="BP244" s="21"/>
      <c r="BQ244" s="21"/>
      <c r="BR244" s="21"/>
      <c r="BS244" s="21"/>
      <c r="BT244" s="21"/>
      <c r="BU244" s="21"/>
      <c r="BV244" s="21"/>
      <c r="BW244" s="21"/>
      <c r="BX244" s="21"/>
      <c r="BY244" s="21"/>
      <c r="BZ244" s="21"/>
      <c r="CA244" s="21"/>
      <c r="CB244" s="21"/>
      <c r="CC244" s="21"/>
      <c r="CD244" s="21"/>
      <c r="CE244" s="21"/>
      <c r="CF244" s="21"/>
      <c r="CG244" s="21"/>
      <c r="CH244" s="21"/>
      <c r="CI244" s="21"/>
      <c r="CJ244" s="21"/>
      <c r="CK244" s="21"/>
      <c r="CL244" s="21"/>
      <c r="CM244" s="21"/>
      <c r="CN244" s="21"/>
      <c r="CO244" s="21"/>
      <c r="CP244" s="21"/>
      <c r="CQ244" s="21"/>
      <c r="CR244" s="21"/>
      <c r="CS244" s="21"/>
      <c r="CT244" s="21"/>
    </row>
    <row r="245" spans="1:98" s="110" customFormat="1" outlineLevel="1" x14ac:dyDescent="0.3">
      <c r="A245" s="110" t="s">
        <v>413</v>
      </c>
      <c r="B245" s="117" t="s">
        <v>414</v>
      </c>
      <c r="C245" s="117" t="str">
        <f t="shared" si="3"/>
        <v>MK North Macedonia CCC: 0,463</v>
      </c>
      <c r="D245" s="118">
        <v>0.46300000000000002</v>
      </c>
      <c r="E245" s="110" t="s">
        <v>192</v>
      </c>
      <c r="F245" s="21"/>
      <c r="G245" s="251"/>
      <c r="H245" s="252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1"/>
      <c r="BO245" s="21"/>
      <c r="BP245" s="21"/>
      <c r="BQ245" s="21"/>
      <c r="BR245" s="21"/>
      <c r="BS245" s="21"/>
      <c r="BT245" s="21"/>
      <c r="BU245" s="21"/>
      <c r="BV245" s="21"/>
      <c r="BW245" s="21"/>
      <c r="BX245" s="21"/>
      <c r="BY245" s="21"/>
      <c r="BZ245" s="21"/>
      <c r="CA245" s="21"/>
      <c r="CB245" s="21"/>
      <c r="CC245" s="21"/>
      <c r="CD245" s="21"/>
      <c r="CE245" s="21"/>
      <c r="CF245" s="21"/>
      <c r="CG245" s="21"/>
      <c r="CH245" s="21"/>
      <c r="CI245" s="21"/>
      <c r="CJ245" s="21"/>
      <c r="CK245" s="21"/>
      <c r="CL245" s="21"/>
      <c r="CM245" s="21"/>
      <c r="CN245" s="21"/>
      <c r="CO245" s="21"/>
      <c r="CP245" s="21"/>
      <c r="CQ245" s="21"/>
      <c r="CR245" s="21"/>
      <c r="CS245" s="21"/>
      <c r="CT245" s="21"/>
    </row>
    <row r="246" spans="1:98" s="110" customFormat="1" outlineLevel="1" x14ac:dyDescent="0.3">
      <c r="A246" s="110" t="s">
        <v>415</v>
      </c>
      <c r="B246" s="117" t="s">
        <v>416</v>
      </c>
      <c r="C246" s="117" t="str">
        <f t="shared" si="3"/>
        <v>NO Norway CCC: 1,174</v>
      </c>
      <c r="D246" s="118">
        <v>1.1739999999999999</v>
      </c>
      <c r="E246" s="110" t="s">
        <v>192</v>
      </c>
      <c r="F246" s="21"/>
      <c r="G246" s="251"/>
      <c r="H246" s="252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1"/>
      <c r="BO246" s="21"/>
      <c r="BP246" s="21"/>
      <c r="BQ246" s="21"/>
      <c r="BR246" s="21"/>
      <c r="BS246" s="21"/>
      <c r="BT246" s="21"/>
      <c r="BU246" s="21"/>
      <c r="BV246" s="21"/>
      <c r="BW246" s="21"/>
      <c r="BX246" s="21"/>
      <c r="BY246" s="21"/>
      <c r="BZ246" s="21"/>
      <c r="CA246" s="21"/>
      <c r="CB246" s="21"/>
      <c r="CC246" s="21"/>
      <c r="CD246" s="21"/>
      <c r="CE246" s="21"/>
      <c r="CF246" s="21"/>
      <c r="CG246" s="21"/>
      <c r="CH246" s="21"/>
      <c r="CI246" s="21"/>
      <c r="CJ246" s="21"/>
      <c r="CK246" s="21"/>
      <c r="CL246" s="21"/>
      <c r="CM246" s="21"/>
      <c r="CN246" s="21"/>
      <c r="CO246" s="21"/>
      <c r="CP246" s="21"/>
      <c r="CQ246" s="21"/>
      <c r="CR246" s="21"/>
      <c r="CS246" s="21"/>
      <c r="CT246" s="21"/>
    </row>
    <row r="247" spans="1:98" s="110" customFormat="1" outlineLevel="1" x14ac:dyDescent="0.3">
      <c r="A247" s="110" t="s">
        <v>417</v>
      </c>
      <c r="B247" s="117" t="s">
        <v>418</v>
      </c>
      <c r="C247" s="117" t="str">
        <f t="shared" si="3"/>
        <v>PK Pakistan CCC: 0,5</v>
      </c>
      <c r="D247" s="118">
        <v>0.5</v>
      </c>
      <c r="E247" s="110" t="s">
        <v>195</v>
      </c>
      <c r="F247" s="21"/>
      <c r="G247"/>
      <c r="H247" s="250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  <c r="BO247" s="21"/>
      <c r="BP247" s="21"/>
      <c r="BQ247" s="21"/>
      <c r="BR247" s="21"/>
      <c r="BS247" s="21"/>
      <c r="BT247" s="21"/>
      <c r="BU247" s="21"/>
      <c r="BV247" s="21"/>
      <c r="BW247" s="21"/>
      <c r="BX247" s="21"/>
      <c r="BY247" s="21"/>
      <c r="BZ247" s="21"/>
      <c r="CA247" s="21"/>
      <c r="CB247" s="21"/>
      <c r="CC247" s="21"/>
      <c r="CD247" s="21"/>
      <c r="CE247" s="21"/>
      <c r="CF247" s="21"/>
      <c r="CG247" s="21"/>
      <c r="CH247" s="21"/>
      <c r="CI247" s="21"/>
      <c r="CJ247" s="21"/>
      <c r="CK247" s="21"/>
      <c r="CL247" s="21"/>
      <c r="CM247" s="21"/>
      <c r="CN247" s="21"/>
      <c r="CO247" s="21"/>
      <c r="CP247" s="21"/>
      <c r="CQ247" s="21"/>
      <c r="CR247" s="21"/>
      <c r="CS247" s="21"/>
      <c r="CT247" s="21"/>
    </row>
    <row r="248" spans="1:98" s="110" customFormat="1" outlineLevel="1" x14ac:dyDescent="0.3">
      <c r="A248" s="110" t="s">
        <v>419</v>
      </c>
      <c r="B248" s="117" t="s">
        <v>418</v>
      </c>
      <c r="C248" s="117" t="str">
        <f t="shared" si="3"/>
        <v>PS Pakistan CCC: 1,026</v>
      </c>
      <c r="D248" s="118">
        <v>1.026</v>
      </c>
      <c r="E248" s="110" t="s">
        <v>195</v>
      </c>
      <c r="F248" s="21"/>
      <c r="G248" s="251"/>
      <c r="H248" s="252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  <c r="BN248" s="21"/>
      <c r="BO248" s="21"/>
      <c r="BP248" s="21"/>
      <c r="BQ248" s="21"/>
      <c r="BR248" s="21"/>
      <c r="BS248" s="21"/>
      <c r="BT248" s="21"/>
      <c r="BU248" s="21"/>
      <c r="BV248" s="21"/>
      <c r="BW248" s="21"/>
      <c r="BX248" s="21"/>
      <c r="BY248" s="21"/>
      <c r="BZ248" s="21"/>
      <c r="CA248" s="21"/>
      <c r="CB248" s="21"/>
      <c r="CC248" s="21"/>
      <c r="CD248" s="21"/>
      <c r="CE248" s="21"/>
      <c r="CF248" s="21"/>
      <c r="CG248" s="21"/>
      <c r="CH248" s="21"/>
      <c r="CI248" s="21"/>
      <c r="CJ248" s="21"/>
      <c r="CK248" s="21"/>
      <c r="CL248" s="21"/>
      <c r="CM248" s="21"/>
      <c r="CN248" s="21"/>
      <c r="CO248" s="21"/>
      <c r="CP248" s="21"/>
      <c r="CQ248" s="21"/>
      <c r="CR248" s="21"/>
      <c r="CS248" s="21"/>
      <c r="CT248" s="21"/>
    </row>
    <row r="249" spans="1:98" s="110" customFormat="1" outlineLevel="1" x14ac:dyDescent="0.3">
      <c r="A249" s="110" t="s">
        <v>420</v>
      </c>
      <c r="B249" s="117" t="s">
        <v>421</v>
      </c>
      <c r="C249" s="117" t="str">
        <f t="shared" si="3"/>
        <v>PA Panama CCC: 0,701</v>
      </c>
      <c r="D249" s="118">
        <v>0.70099999999999996</v>
      </c>
      <c r="E249" s="110" t="s">
        <v>195</v>
      </c>
      <c r="F249" s="21"/>
      <c r="G249"/>
      <c r="H249" s="250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  <c r="BO249" s="21"/>
      <c r="BP249" s="21"/>
      <c r="BQ249" s="21"/>
      <c r="BR249" s="21"/>
      <c r="BS249" s="21"/>
      <c r="BT249" s="21"/>
      <c r="BU249" s="21"/>
      <c r="BV249" s="21"/>
      <c r="BW249" s="21"/>
      <c r="BX249" s="21"/>
      <c r="BY249" s="21"/>
      <c r="BZ249" s="21"/>
      <c r="CA249" s="21"/>
      <c r="CB249" s="21"/>
      <c r="CC249" s="21"/>
      <c r="CD249" s="21"/>
      <c r="CE249" s="21"/>
      <c r="CF249" s="21"/>
      <c r="CG249" s="21"/>
      <c r="CH249" s="21"/>
      <c r="CI249" s="21"/>
      <c r="CJ249" s="21"/>
      <c r="CK249" s="21"/>
      <c r="CL249" s="21"/>
      <c r="CM249" s="21"/>
      <c r="CN249" s="21"/>
      <c r="CO249" s="21"/>
      <c r="CP249" s="21"/>
      <c r="CQ249" s="21"/>
      <c r="CR249" s="21"/>
      <c r="CS249" s="21"/>
      <c r="CT249" s="21"/>
    </row>
    <row r="250" spans="1:98" s="110" customFormat="1" outlineLevel="1" x14ac:dyDescent="0.3">
      <c r="A250" s="110" t="s">
        <v>422</v>
      </c>
      <c r="B250" s="117" t="s">
        <v>423</v>
      </c>
      <c r="C250" s="117" t="str">
        <f t="shared" si="3"/>
        <v>PG Papua New Guinea CCC: 0,911</v>
      </c>
      <c r="D250" s="118">
        <v>0.91100000000000003</v>
      </c>
      <c r="E250" s="110" t="s">
        <v>195</v>
      </c>
      <c r="F250" s="21"/>
      <c r="G250"/>
      <c r="H250" s="250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  <c r="BO250" s="21"/>
      <c r="BP250" s="21"/>
      <c r="BQ250" s="21"/>
      <c r="BR250" s="21"/>
      <c r="BS250" s="21"/>
      <c r="BT250" s="21"/>
      <c r="BU250" s="21"/>
      <c r="BV250" s="21"/>
      <c r="BW250" s="21"/>
      <c r="BX250" s="21"/>
      <c r="BY250" s="21"/>
      <c r="BZ250" s="21"/>
      <c r="CA250" s="21"/>
      <c r="CB250" s="21"/>
      <c r="CC250" s="21"/>
      <c r="CD250" s="21"/>
      <c r="CE250" s="21"/>
      <c r="CF250" s="21"/>
      <c r="CG250" s="21"/>
      <c r="CH250" s="21"/>
      <c r="CI250" s="21"/>
      <c r="CJ250" s="21"/>
      <c r="CK250" s="21"/>
      <c r="CL250" s="21"/>
      <c r="CM250" s="21"/>
      <c r="CN250" s="21"/>
      <c r="CO250" s="21"/>
      <c r="CP250" s="21"/>
      <c r="CQ250" s="21"/>
      <c r="CR250" s="21"/>
      <c r="CS250" s="21"/>
      <c r="CT250" s="21"/>
    </row>
    <row r="251" spans="1:98" s="110" customFormat="1" outlineLevel="1" x14ac:dyDescent="0.3">
      <c r="A251" s="110" t="s">
        <v>424</v>
      </c>
      <c r="B251" s="117" t="s">
        <v>425</v>
      </c>
      <c r="C251" s="117" t="str">
        <f t="shared" si="3"/>
        <v>PY Paraguay CCC: 0,575</v>
      </c>
      <c r="D251" s="118">
        <v>0.57499999999999996</v>
      </c>
      <c r="E251" s="110" t="s">
        <v>195</v>
      </c>
      <c r="F251" s="21"/>
      <c r="G251"/>
      <c r="H251" s="250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1"/>
      <c r="BO251" s="21"/>
      <c r="BP251" s="21"/>
      <c r="BQ251" s="21"/>
      <c r="BR251" s="21"/>
      <c r="BS251" s="21"/>
      <c r="BT251" s="21"/>
      <c r="BU251" s="21"/>
      <c r="BV251" s="21"/>
      <c r="BW251" s="21"/>
      <c r="BX251" s="21"/>
      <c r="BY251" s="21"/>
      <c r="BZ251" s="21"/>
      <c r="CA251" s="21"/>
      <c r="CB251" s="21"/>
      <c r="CC251" s="21"/>
      <c r="CD251" s="21"/>
      <c r="CE251" s="21"/>
      <c r="CF251" s="21"/>
      <c r="CG251" s="21"/>
      <c r="CH251" s="21"/>
      <c r="CI251" s="21"/>
      <c r="CJ251" s="21"/>
      <c r="CK251" s="21"/>
      <c r="CL251" s="21"/>
      <c r="CM251" s="21"/>
      <c r="CN251" s="21"/>
      <c r="CO251" s="21"/>
      <c r="CP251" s="21"/>
      <c r="CQ251" s="21"/>
      <c r="CR251" s="21"/>
      <c r="CS251" s="21"/>
      <c r="CT251" s="21"/>
    </row>
    <row r="252" spans="1:98" s="110" customFormat="1" outlineLevel="1" x14ac:dyDescent="0.3">
      <c r="A252" s="110" t="s">
        <v>426</v>
      </c>
      <c r="B252" s="117" t="s">
        <v>427</v>
      </c>
      <c r="C252" s="117" t="str">
        <f t="shared" si="3"/>
        <v>PE Peru CCC: 0,803</v>
      </c>
      <c r="D252" s="118">
        <v>0.80300000000000005</v>
      </c>
      <c r="E252" s="110" t="s">
        <v>195</v>
      </c>
      <c r="F252" s="21"/>
      <c r="G252" s="251"/>
      <c r="H252" s="252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  <c r="BO252" s="21"/>
      <c r="BP252" s="21"/>
      <c r="BQ252" s="21"/>
      <c r="BR252" s="21"/>
      <c r="BS252" s="21"/>
      <c r="BT252" s="21"/>
      <c r="BU252" s="21"/>
      <c r="BV252" s="21"/>
      <c r="BW252" s="21"/>
      <c r="BX252" s="21"/>
      <c r="BY252" s="21"/>
      <c r="BZ252" s="21"/>
      <c r="CA252" s="21"/>
      <c r="CB252" s="21"/>
      <c r="CC252" s="21"/>
      <c r="CD252" s="21"/>
      <c r="CE252" s="21"/>
      <c r="CF252" s="21"/>
      <c r="CG252" s="21"/>
      <c r="CH252" s="21"/>
      <c r="CI252" s="21"/>
      <c r="CJ252" s="21"/>
      <c r="CK252" s="21"/>
      <c r="CL252" s="21"/>
      <c r="CM252" s="21"/>
      <c r="CN252" s="21"/>
      <c r="CO252" s="21"/>
      <c r="CP252" s="21"/>
      <c r="CQ252" s="21"/>
      <c r="CR252" s="21"/>
      <c r="CS252" s="21"/>
      <c r="CT252" s="21"/>
    </row>
    <row r="253" spans="1:98" s="110" customFormat="1" outlineLevel="1" x14ac:dyDescent="0.3">
      <c r="A253" s="110" t="s">
        <v>428</v>
      </c>
      <c r="B253" s="117" t="s">
        <v>429</v>
      </c>
      <c r="C253" s="117" t="str">
        <f t="shared" si="3"/>
        <v>PH Philippines (the) CCC: 0,742</v>
      </c>
      <c r="D253" s="118">
        <v>0.74199999999999999</v>
      </c>
      <c r="E253" s="110" t="s">
        <v>195</v>
      </c>
      <c r="F253" s="21"/>
      <c r="G253" s="251"/>
      <c r="H253" s="252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  <c r="BN253" s="21"/>
      <c r="BO253" s="21"/>
      <c r="BP253" s="21"/>
      <c r="BQ253" s="21"/>
      <c r="BR253" s="21"/>
      <c r="BS253" s="21"/>
      <c r="BT253" s="21"/>
      <c r="BU253" s="21"/>
      <c r="BV253" s="21"/>
      <c r="BW253" s="21"/>
      <c r="BX253" s="21"/>
      <c r="BY253" s="21"/>
      <c r="BZ253" s="21"/>
      <c r="CA253" s="21"/>
      <c r="CB253" s="21"/>
      <c r="CC253" s="21"/>
      <c r="CD253" s="21"/>
      <c r="CE253" s="21"/>
      <c r="CF253" s="21"/>
      <c r="CG253" s="21"/>
      <c r="CH253" s="21"/>
      <c r="CI253" s="21"/>
      <c r="CJ253" s="21"/>
      <c r="CK253" s="21"/>
      <c r="CL253" s="21"/>
      <c r="CM253" s="21"/>
      <c r="CN253" s="21"/>
      <c r="CO253" s="21"/>
      <c r="CP253" s="21"/>
      <c r="CQ253" s="21"/>
      <c r="CR253" s="21"/>
      <c r="CS253" s="21"/>
      <c r="CT253" s="21"/>
    </row>
    <row r="254" spans="1:98" s="110" customFormat="1" outlineLevel="1" x14ac:dyDescent="0.3">
      <c r="A254" s="110" t="s">
        <v>430</v>
      </c>
      <c r="B254" s="117" t="s">
        <v>431</v>
      </c>
      <c r="C254" s="117" t="str">
        <f t="shared" si="3"/>
        <v>PL Poland CCC: 0,643</v>
      </c>
      <c r="D254" s="118">
        <v>0.64300000000000002</v>
      </c>
      <c r="E254" s="110" t="s">
        <v>206</v>
      </c>
      <c r="F254" s="21"/>
      <c r="G254" s="251"/>
      <c r="H254" s="252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1"/>
      <c r="BO254" s="21"/>
      <c r="BP254" s="21"/>
      <c r="BQ254" s="21"/>
      <c r="BR254" s="21"/>
      <c r="BS254" s="21"/>
      <c r="BT254" s="21"/>
      <c r="BU254" s="21"/>
      <c r="BV254" s="21"/>
      <c r="BW254" s="21"/>
      <c r="BX254" s="21"/>
      <c r="BY254" s="21"/>
      <c r="BZ254" s="21"/>
      <c r="CA254" s="21"/>
      <c r="CB254" s="21"/>
      <c r="CC254" s="21"/>
      <c r="CD254" s="21"/>
      <c r="CE254" s="21"/>
      <c r="CF254" s="21"/>
      <c r="CG254" s="21"/>
      <c r="CH254" s="21"/>
      <c r="CI254" s="21"/>
      <c r="CJ254" s="21"/>
      <c r="CK254" s="21"/>
      <c r="CL254" s="21"/>
      <c r="CM254" s="21"/>
      <c r="CN254" s="21"/>
      <c r="CO254" s="21"/>
      <c r="CP254" s="21"/>
      <c r="CQ254" s="21"/>
      <c r="CR254" s="21"/>
      <c r="CS254" s="21"/>
      <c r="CT254" s="21"/>
    </row>
    <row r="255" spans="1:98" s="110" customFormat="1" outlineLevel="1" x14ac:dyDescent="0.3">
      <c r="A255" s="110" t="s">
        <v>432</v>
      </c>
      <c r="B255" s="117" t="s">
        <v>433</v>
      </c>
      <c r="C255" s="117" t="str">
        <f t="shared" si="3"/>
        <v>PT Portugal CCC: 0,769</v>
      </c>
      <c r="D255" s="118">
        <v>0.76900000000000002</v>
      </c>
      <c r="E255" s="110" t="s">
        <v>206</v>
      </c>
      <c r="F255" s="21"/>
      <c r="G255"/>
      <c r="H255" s="250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21"/>
      <c r="BO255" s="21"/>
      <c r="BP255" s="21"/>
      <c r="BQ255" s="21"/>
      <c r="BR255" s="21"/>
      <c r="BS255" s="21"/>
      <c r="BT255" s="21"/>
      <c r="BU255" s="21"/>
      <c r="BV255" s="21"/>
      <c r="BW255" s="21"/>
      <c r="BX255" s="21"/>
      <c r="BY255" s="21"/>
      <c r="BZ255" s="21"/>
      <c r="CA255" s="21"/>
      <c r="CB255" s="21"/>
      <c r="CC255" s="21"/>
      <c r="CD255" s="21"/>
      <c r="CE255" s="21"/>
      <c r="CF255" s="21"/>
      <c r="CG255" s="21"/>
      <c r="CH255" s="21"/>
      <c r="CI255" s="21"/>
      <c r="CJ255" s="21"/>
      <c r="CK255" s="21"/>
      <c r="CL255" s="21"/>
      <c r="CM255" s="21"/>
      <c r="CN255" s="21"/>
      <c r="CO255" s="21"/>
      <c r="CP255" s="21"/>
      <c r="CQ255" s="21"/>
      <c r="CR255" s="21"/>
      <c r="CS255" s="21"/>
      <c r="CT255" s="21"/>
    </row>
    <row r="256" spans="1:98" s="110" customFormat="1" outlineLevel="1" x14ac:dyDescent="0.3">
      <c r="A256" s="110" t="s">
        <v>434</v>
      </c>
      <c r="B256" s="117" t="s">
        <v>435</v>
      </c>
      <c r="C256" s="117" t="str">
        <f t="shared" si="3"/>
        <v>RO Romania CCC: 0,597</v>
      </c>
      <c r="D256" s="118">
        <v>0.59699999999999998</v>
      </c>
      <c r="E256" s="110" t="s">
        <v>206</v>
      </c>
      <c r="F256" s="21"/>
      <c r="G256" s="251"/>
      <c r="H256" s="252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  <c r="BO256" s="21"/>
      <c r="BP256" s="21"/>
      <c r="BQ256" s="21"/>
      <c r="BR256" s="21"/>
      <c r="BS256" s="21"/>
      <c r="BT256" s="21"/>
      <c r="BU256" s="21"/>
      <c r="BV256" s="21"/>
      <c r="BW256" s="21"/>
      <c r="BX256" s="21"/>
      <c r="BY256" s="21"/>
      <c r="BZ256" s="21"/>
      <c r="CA256" s="21"/>
      <c r="CB256" s="21"/>
      <c r="CC256" s="21"/>
      <c r="CD256" s="21"/>
      <c r="CE256" s="21"/>
      <c r="CF256" s="21"/>
      <c r="CG256" s="21"/>
      <c r="CH256" s="21"/>
      <c r="CI256" s="21"/>
      <c r="CJ256" s="21"/>
      <c r="CK256" s="21"/>
      <c r="CL256" s="21"/>
      <c r="CM256" s="21"/>
      <c r="CN256" s="21"/>
      <c r="CO256" s="21"/>
      <c r="CP256" s="21"/>
      <c r="CQ256" s="21"/>
      <c r="CR256" s="21"/>
      <c r="CS256" s="21"/>
      <c r="CT256" s="21"/>
    </row>
    <row r="257" spans="1:98" s="110" customFormat="1" outlineLevel="1" x14ac:dyDescent="0.3">
      <c r="A257" s="110" t="s">
        <v>436</v>
      </c>
      <c r="B257" s="117" t="s">
        <v>437</v>
      </c>
      <c r="C257" s="117" t="str">
        <f t="shared" si="3"/>
        <v>RU Russian Federation (the) CCC: 0,888</v>
      </c>
      <c r="D257" s="118">
        <v>0.88800000000000001</v>
      </c>
      <c r="E257" s="110" t="s">
        <v>195</v>
      </c>
      <c r="F257" s="21"/>
      <c r="G257"/>
      <c r="H257" s="250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  <c r="BN257" s="21"/>
      <c r="BO257" s="21"/>
      <c r="BP257" s="21"/>
      <c r="BQ257" s="21"/>
      <c r="BR257" s="21"/>
      <c r="BS257" s="21"/>
      <c r="BT257" s="21"/>
      <c r="BU257" s="21"/>
      <c r="BV257" s="21"/>
      <c r="BW257" s="21"/>
      <c r="BX257" s="21"/>
      <c r="BY257" s="21"/>
      <c r="BZ257" s="21"/>
      <c r="CA257" s="21"/>
      <c r="CB257" s="21"/>
      <c r="CC257" s="21"/>
      <c r="CD257" s="21"/>
      <c r="CE257" s="21"/>
      <c r="CF257" s="21"/>
      <c r="CG257" s="21"/>
      <c r="CH257" s="21"/>
      <c r="CI257" s="21"/>
      <c r="CJ257" s="21"/>
      <c r="CK257" s="21"/>
      <c r="CL257" s="21"/>
      <c r="CM257" s="21"/>
      <c r="CN257" s="21"/>
      <c r="CO257" s="21"/>
      <c r="CP257" s="21"/>
      <c r="CQ257" s="21"/>
      <c r="CR257" s="21"/>
      <c r="CS257" s="21"/>
      <c r="CT257" s="21"/>
    </row>
    <row r="258" spans="1:98" s="110" customFormat="1" outlineLevel="1" x14ac:dyDescent="0.3">
      <c r="A258" s="110" t="s">
        <v>438</v>
      </c>
      <c r="B258" s="117" t="s">
        <v>439</v>
      </c>
      <c r="C258" s="117" t="str">
        <f t="shared" si="3"/>
        <v>RW Rwanda CCC: 0,745</v>
      </c>
      <c r="D258" s="118">
        <v>0.745</v>
      </c>
      <c r="E258" s="110" t="s">
        <v>195</v>
      </c>
      <c r="F258" s="21"/>
      <c r="G258" s="251"/>
      <c r="H258" s="252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  <c r="BU258" s="21"/>
      <c r="BV258" s="21"/>
      <c r="BW258" s="21"/>
      <c r="BX258" s="21"/>
      <c r="BY258" s="21"/>
      <c r="BZ258" s="21"/>
      <c r="CA258" s="21"/>
      <c r="CB258" s="21"/>
      <c r="CC258" s="21"/>
      <c r="CD258" s="21"/>
      <c r="CE258" s="21"/>
      <c r="CF258" s="21"/>
      <c r="CG258" s="21"/>
      <c r="CH258" s="21"/>
      <c r="CI258" s="21"/>
      <c r="CJ258" s="21"/>
      <c r="CK258" s="21"/>
      <c r="CL258" s="21"/>
      <c r="CM258" s="21"/>
      <c r="CN258" s="21"/>
      <c r="CO258" s="21"/>
      <c r="CP258" s="21"/>
      <c r="CQ258" s="21"/>
      <c r="CR258" s="21"/>
      <c r="CS258" s="21"/>
      <c r="CT258" s="21"/>
    </row>
    <row r="259" spans="1:98" s="110" customFormat="1" outlineLevel="1" x14ac:dyDescent="0.3">
      <c r="A259" s="110" t="s">
        <v>440</v>
      </c>
      <c r="B259" s="117" t="s">
        <v>441</v>
      </c>
      <c r="C259" s="117" t="str">
        <f t="shared" si="3"/>
        <v>WS Samoa CCC: 0,75</v>
      </c>
      <c r="D259" s="118">
        <v>0.75</v>
      </c>
      <c r="E259" s="110" t="s">
        <v>195</v>
      </c>
      <c r="F259" s="21"/>
      <c r="G259" s="251"/>
      <c r="H259" s="252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  <c r="BU259" s="21"/>
      <c r="BV259" s="21"/>
      <c r="BW259" s="21"/>
      <c r="BX259" s="21"/>
      <c r="BY259" s="21"/>
      <c r="BZ259" s="21"/>
      <c r="CA259" s="21"/>
      <c r="CB259" s="21"/>
      <c r="CC259" s="21"/>
      <c r="CD259" s="21"/>
      <c r="CE259" s="21"/>
      <c r="CF259" s="21"/>
      <c r="CG259" s="21"/>
      <c r="CH259" s="21"/>
      <c r="CI259" s="21"/>
      <c r="CJ259" s="21"/>
      <c r="CK259" s="21"/>
      <c r="CL259" s="21"/>
      <c r="CM259" s="21"/>
      <c r="CN259" s="21"/>
      <c r="CO259" s="21"/>
      <c r="CP259" s="21"/>
      <c r="CQ259" s="21"/>
      <c r="CR259" s="21"/>
      <c r="CS259" s="21"/>
      <c r="CT259" s="21"/>
    </row>
    <row r="260" spans="1:98" s="110" customFormat="1" outlineLevel="1" x14ac:dyDescent="0.3">
      <c r="A260" s="110" t="s">
        <v>442</v>
      </c>
      <c r="B260" s="117" t="s">
        <v>443</v>
      </c>
      <c r="C260" s="117" t="str">
        <f t="shared" si="3"/>
        <v>SA Saudi Arabia CCC: 0,761</v>
      </c>
      <c r="D260" s="118">
        <v>0.76100000000000001</v>
      </c>
      <c r="E260" s="110" t="s">
        <v>195</v>
      </c>
      <c r="F260" s="21"/>
      <c r="G260"/>
      <c r="H260" s="250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  <c r="BW260" s="21"/>
      <c r="BX260" s="21"/>
      <c r="BY260" s="21"/>
      <c r="BZ260" s="21"/>
      <c r="CA260" s="21"/>
      <c r="CB260" s="21"/>
      <c r="CC260" s="21"/>
      <c r="CD260" s="21"/>
      <c r="CE260" s="21"/>
      <c r="CF260" s="21"/>
      <c r="CG260" s="21"/>
      <c r="CH260" s="21"/>
      <c r="CI260" s="21"/>
      <c r="CJ260" s="21"/>
      <c r="CK260" s="21"/>
      <c r="CL260" s="21"/>
      <c r="CM260" s="21"/>
      <c r="CN260" s="21"/>
      <c r="CO260" s="21"/>
      <c r="CP260" s="21"/>
      <c r="CQ260" s="21"/>
      <c r="CR260" s="21"/>
      <c r="CS260" s="21"/>
      <c r="CT260" s="21"/>
    </row>
    <row r="261" spans="1:98" s="110" customFormat="1" outlineLevel="1" x14ac:dyDescent="0.3">
      <c r="A261" s="110" t="s">
        <v>444</v>
      </c>
      <c r="B261" s="117" t="s">
        <v>445</v>
      </c>
      <c r="C261" s="117" t="str">
        <f t="shared" si="3"/>
        <v>SN Senegal CCC: 0,898</v>
      </c>
      <c r="D261" s="118">
        <v>0.89800000000000002</v>
      </c>
      <c r="E261" s="110" t="s">
        <v>195</v>
      </c>
      <c r="F261" s="21"/>
      <c r="G261" s="251"/>
      <c r="H261" s="252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1"/>
      <c r="BV261" s="21"/>
      <c r="BW261" s="21"/>
      <c r="BX261" s="21"/>
      <c r="BY261" s="21"/>
      <c r="BZ261" s="21"/>
      <c r="CA261" s="21"/>
      <c r="CB261" s="21"/>
      <c r="CC261" s="21"/>
      <c r="CD261" s="21"/>
      <c r="CE261" s="21"/>
      <c r="CF261" s="21"/>
      <c r="CG261" s="21"/>
      <c r="CH261" s="21"/>
      <c r="CI261" s="21"/>
      <c r="CJ261" s="21"/>
      <c r="CK261" s="21"/>
      <c r="CL261" s="21"/>
      <c r="CM261" s="21"/>
      <c r="CN261" s="21"/>
      <c r="CO261" s="21"/>
      <c r="CP261" s="21"/>
      <c r="CQ261" s="21"/>
      <c r="CR261" s="21"/>
      <c r="CS261" s="21"/>
      <c r="CT261" s="21"/>
    </row>
    <row r="262" spans="1:98" s="110" customFormat="1" outlineLevel="1" x14ac:dyDescent="0.3">
      <c r="A262" s="110" t="s">
        <v>446</v>
      </c>
      <c r="B262" s="117" t="s">
        <v>447</v>
      </c>
      <c r="C262" s="117" t="str">
        <f t="shared" si="3"/>
        <v>RS Serbia CCC: 0,526</v>
      </c>
      <c r="D262" s="118">
        <v>0.52600000000000002</v>
      </c>
      <c r="E262" s="110" t="s">
        <v>192</v>
      </c>
      <c r="F262" s="21"/>
      <c r="G262" s="251"/>
      <c r="H262" s="252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  <c r="CA262" s="21"/>
      <c r="CB262" s="21"/>
      <c r="CC262" s="21"/>
      <c r="CD262" s="21"/>
      <c r="CE262" s="21"/>
      <c r="CF262" s="21"/>
      <c r="CG262" s="21"/>
      <c r="CH262" s="21"/>
      <c r="CI262" s="21"/>
      <c r="CJ262" s="21"/>
      <c r="CK262" s="21"/>
      <c r="CL262" s="21"/>
      <c r="CM262" s="21"/>
      <c r="CN262" s="21"/>
      <c r="CO262" s="21"/>
      <c r="CP262" s="21"/>
      <c r="CQ262" s="21"/>
      <c r="CR262" s="21"/>
      <c r="CS262" s="21"/>
      <c r="CT262" s="21"/>
    </row>
    <row r="263" spans="1:98" s="110" customFormat="1" outlineLevel="1" x14ac:dyDescent="0.3">
      <c r="A263" s="110" t="s">
        <v>448</v>
      </c>
      <c r="B263" s="117" t="s">
        <v>449</v>
      </c>
      <c r="C263" s="117" t="str">
        <f t="shared" ref="C263:C294" si="4">A263&amp;" "&amp;B263&amp;" "&amp;"CCC: "&amp;D263</f>
        <v>SL Sierra Leone CCC: 0,977</v>
      </c>
      <c r="D263" s="118">
        <v>0.97699999999999998</v>
      </c>
      <c r="E263" s="110" t="s">
        <v>195</v>
      </c>
      <c r="F263" s="21"/>
      <c r="G263"/>
      <c r="H263" s="250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  <c r="BU263" s="21"/>
      <c r="BV263" s="21"/>
      <c r="BW263" s="21"/>
      <c r="BX263" s="21"/>
      <c r="BY263" s="21"/>
      <c r="BZ263" s="21"/>
      <c r="CA263" s="21"/>
      <c r="CB263" s="21"/>
      <c r="CC263" s="21"/>
      <c r="CD263" s="21"/>
      <c r="CE263" s="21"/>
      <c r="CF263" s="21"/>
      <c r="CG263" s="21"/>
      <c r="CH263" s="21"/>
      <c r="CI263" s="21"/>
      <c r="CJ263" s="21"/>
      <c r="CK263" s="21"/>
      <c r="CL263" s="21"/>
      <c r="CM263" s="21"/>
      <c r="CN263" s="21"/>
      <c r="CO263" s="21"/>
      <c r="CP263" s="21"/>
      <c r="CQ263" s="21"/>
      <c r="CR263" s="21"/>
      <c r="CS263" s="21"/>
      <c r="CT263" s="21"/>
    </row>
    <row r="264" spans="1:98" s="110" customFormat="1" outlineLevel="1" x14ac:dyDescent="0.3">
      <c r="A264" s="110" t="s">
        <v>450</v>
      </c>
      <c r="B264" s="117" t="s">
        <v>451</v>
      </c>
      <c r="C264" s="117" t="str">
        <f t="shared" si="4"/>
        <v>SG Singapore CCC: 1,135</v>
      </c>
      <c r="D264" s="118">
        <v>1.135</v>
      </c>
      <c r="E264" s="110" t="s">
        <v>195</v>
      </c>
      <c r="F264" s="21"/>
      <c r="G264" s="251"/>
      <c r="H264" s="252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  <c r="BU264" s="21"/>
      <c r="BV264" s="21"/>
      <c r="BW264" s="21"/>
      <c r="BX264" s="21"/>
      <c r="BY264" s="21"/>
      <c r="BZ264" s="21"/>
      <c r="CA264" s="21"/>
      <c r="CB264" s="21"/>
      <c r="CC264" s="21"/>
      <c r="CD264" s="21"/>
      <c r="CE264" s="21"/>
      <c r="CF264" s="21"/>
      <c r="CG264" s="21"/>
      <c r="CH264" s="21"/>
      <c r="CI264" s="21"/>
      <c r="CJ264" s="21"/>
      <c r="CK264" s="21"/>
      <c r="CL264" s="21"/>
      <c r="CM264" s="21"/>
      <c r="CN264" s="21"/>
      <c r="CO264" s="21"/>
      <c r="CP264" s="21"/>
      <c r="CQ264" s="21"/>
      <c r="CR264" s="21"/>
      <c r="CS264" s="21"/>
      <c r="CT264" s="21"/>
    </row>
    <row r="265" spans="1:98" s="110" customFormat="1" outlineLevel="1" x14ac:dyDescent="0.3">
      <c r="A265" s="110" t="s">
        <v>452</v>
      </c>
      <c r="B265" s="117" t="s">
        <v>453</v>
      </c>
      <c r="C265" s="117" t="str">
        <f t="shared" si="4"/>
        <v>SK Slovakia CCC: 0,713</v>
      </c>
      <c r="D265" s="118">
        <v>0.71299999999999997</v>
      </c>
      <c r="E265" s="110" t="s">
        <v>206</v>
      </c>
      <c r="F265" s="21"/>
      <c r="G265"/>
      <c r="H265" s="250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1"/>
      <c r="BP265" s="21"/>
      <c r="BQ265" s="21"/>
      <c r="BR265" s="21"/>
      <c r="BS265" s="21"/>
      <c r="BT265" s="21"/>
      <c r="BU265" s="21"/>
      <c r="BV265" s="21"/>
      <c r="BW265" s="21"/>
      <c r="BX265" s="21"/>
      <c r="BY265" s="21"/>
      <c r="BZ265" s="21"/>
      <c r="CA265" s="21"/>
      <c r="CB265" s="21"/>
      <c r="CC265" s="21"/>
      <c r="CD265" s="21"/>
      <c r="CE265" s="21"/>
      <c r="CF265" s="21"/>
      <c r="CG265" s="21"/>
      <c r="CH265" s="21"/>
      <c r="CI265" s="21"/>
      <c r="CJ265" s="21"/>
      <c r="CK265" s="21"/>
      <c r="CL265" s="21"/>
      <c r="CM265" s="21"/>
      <c r="CN265" s="21"/>
      <c r="CO265" s="21"/>
      <c r="CP265" s="21"/>
      <c r="CQ265" s="21"/>
      <c r="CR265" s="21"/>
      <c r="CS265" s="21"/>
      <c r="CT265" s="21"/>
    </row>
    <row r="266" spans="1:98" s="110" customFormat="1" outlineLevel="1" x14ac:dyDescent="0.3">
      <c r="A266" s="110" t="s">
        <v>454</v>
      </c>
      <c r="B266" s="117" t="s">
        <v>455</v>
      </c>
      <c r="C266" s="117" t="str">
        <f t="shared" si="4"/>
        <v>SI Slovenia CCC: 0,76</v>
      </c>
      <c r="D266" s="118">
        <v>0.76</v>
      </c>
      <c r="E266" s="110" t="s">
        <v>206</v>
      </c>
      <c r="F266" s="21"/>
      <c r="G266" s="251"/>
      <c r="H266" s="252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  <c r="BU266" s="21"/>
      <c r="BV266" s="21"/>
      <c r="BW266" s="21"/>
      <c r="BX266" s="21"/>
      <c r="BY266" s="21"/>
      <c r="BZ266" s="21"/>
      <c r="CA266" s="21"/>
      <c r="CB266" s="21"/>
      <c r="CC266" s="21"/>
      <c r="CD266" s="21"/>
      <c r="CE266" s="21"/>
      <c r="CF266" s="21"/>
      <c r="CG266" s="21"/>
      <c r="CH266" s="21"/>
      <c r="CI266" s="21"/>
      <c r="CJ266" s="21"/>
      <c r="CK266" s="21"/>
      <c r="CL266" s="21"/>
      <c r="CM266" s="21"/>
      <c r="CN266" s="21"/>
      <c r="CO266" s="21"/>
      <c r="CP266" s="21"/>
      <c r="CQ266" s="21"/>
      <c r="CR266" s="21"/>
      <c r="CS266" s="21"/>
      <c r="CT266" s="21"/>
    </row>
    <row r="267" spans="1:98" s="110" customFormat="1" outlineLevel="1" x14ac:dyDescent="0.3">
      <c r="A267" s="110" t="s">
        <v>456</v>
      </c>
      <c r="B267" s="117" t="s">
        <v>457</v>
      </c>
      <c r="C267" s="117" t="str">
        <f t="shared" si="4"/>
        <v>SB Solomon Islands CCC: 1,028</v>
      </c>
      <c r="D267" s="118">
        <v>1.028</v>
      </c>
      <c r="E267" s="110" t="s">
        <v>195</v>
      </c>
      <c r="F267" s="21"/>
      <c r="G267" s="251"/>
      <c r="H267" s="252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1"/>
      <c r="BV267" s="21"/>
      <c r="BW267" s="21"/>
      <c r="BX267" s="21"/>
      <c r="BY267" s="21"/>
      <c r="BZ267" s="21"/>
      <c r="CA267" s="21"/>
      <c r="CB267" s="21"/>
      <c r="CC267" s="21"/>
      <c r="CD267" s="21"/>
      <c r="CE267" s="21"/>
      <c r="CF267" s="21"/>
      <c r="CG267" s="21"/>
      <c r="CH267" s="21"/>
      <c r="CI267" s="21"/>
      <c r="CJ267" s="21"/>
      <c r="CK267" s="21"/>
      <c r="CL267" s="21"/>
      <c r="CM267" s="21"/>
      <c r="CN267" s="21"/>
      <c r="CO267" s="21"/>
      <c r="CP267" s="21"/>
      <c r="CQ267" s="21"/>
      <c r="CR267" s="21"/>
      <c r="CS267" s="21"/>
      <c r="CT267" s="21"/>
    </row>
    <row r="268" spans="1:98" s="110" customFormat="1" outlineLevel="1" x14ac:dyDescent="0.3">
      <c r="A268" s="110" t="s">
        <v>458</v>
      </c>
      <c r="B268" s="117" t="s">
        <v>459</v>
      </c>
      <c r="C268" s="117" t="str">
        <f t="shared" si="4"/>
        <v>ZA South Africa CCC: 0,505</v>
      </c>
      <c r="D268" s="118">
        <v>0.505</v>
      </c>
      <c r="E268" s="110" t="s">
        <v>195</v>
      </c>
      <c r="F268" s="21"/>
      <c r="G268"/>
      <c r="H268" s="250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1"/>
      <c r="BP268" s="21"/>
      <c r="BQ268" s="21"/>
      <c r="BR268" s="21"/>
      <c r="BS268" s="21"/>
      <c r="BT268" s="21"/>
      <c r="BU268" s="21"/>
      <c r="BV268" s="21"/>
      <c r="BW268" s="21"/>
      <c r="BX268" s="21"/>
      <c r="BY268" s="21"/>
      <c r="BZ268" s="21"/>
      <c r="CA268" s="21"/>
      <c r="CB268" s="21"/>
      <c r="CC268" s="21"/>
      <c r="CD268" s="21"/>
      <c r="CE268" s="21"/>
      <c r="CF268" s="21"/>
      <c r="CG268" s="21"/>
      <c r="CH268" s="21"/>
      <c r="CI268" s="21"/>
      <c r="CJ268" s="21"/>
      <c r="CK268" s="21"/>
      <c r="CL268" s="21"/>
      <c r="CM268" s="21"/>
      <c r="CN268" s="21"/>
      <c r="CO268" s="21"/>
      <c r="CP268" s="21"/>
      <c r="CQ268" s="21"/>
      <c r="CR268" s="21"/>
      <c r="CS268" s="21"/>
      <c r="CT268" s="21"/>
    </row>
    <row r="269" spans="1:98" s="110" customFormat="1" outlineLevel="1" x14ac:dyDescent="0.3">
      <c r="A269" s="110" t="s">
        <v>460</v>
      </c>
      <c r="B269" s="117" t="s">
        <v>461</v>
      </c>
      <c r="C269" s="117" t="str">
        <f t="shared" si="4"/>
        <v>ES Spain CCC: 0,833</v>
      </c>
      <c r="D269" s="118">
        <v>0.83299999999999996</v>
      </c>
      <c r="E269" s="110" t="s">
        <v>206</v>
      </c>
      <c r="F269" s="21"/>
      <c r="G269" s="251"/>
      <c r="H269" s="252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  <c r="BN269" s="21"/>
      <c r="BO269" s="21"/>
      <c r="BP269" s="21"/>
      <c r="BQ269" s="21"/>
      <c r="BR269" s="21"/>
      <c r="BS269" s="21"/>
      <c r="BT269" s="21"/>
      <c r="BU269" s="21"/>
      <c r="BV269" s="21"/>
      <c r="BW269" s="21"/>
      <c r="BX269" s="21"/>
      <c r="BY269" s="21"/>
      <c r="BZ269" s="21"/>
      <c r="CA269" s="21"/>
      <c r="CB269" s="21"/>
      <c r="CC269" s="21"/>
      <c r="CD269" s="21"/>
      <c r="CE269" s="21"/>
      <c r="CF269" s="21"/>
      <c r="CG269" s="21"/>
      <c r="CH269" s="21"/>
      <c r="CI269" s="21"/>
      <c r="CJ269" s="21"/>
      <c r="CK269" s="21"/>
      <c r="CL269" s="21"/>
      <c r="CM269" s="21"/>
      <c r="CN269" s="21"/>
      <c r="CO269" s="21"/>
      <c r="CP269" s="21"/>
      <c r="CQ269" s="21"/>
      <c r="CR269" s="21"/>
      <c r="CS269" s="21"/>
      <c r="CT269" s="21"/>
    </row>
    <row r="270" spans="1:98" s="110" customFormat="1" outlineLevel="1" x14ac:dyDescent="0.3">
      <c r="A270" s="110" t="s">
        <v>462</v>
      </c>
      <c r="B270" s="117" t="s">
        <v>463</v>
      </c>
      <c r="C270" s="117" t="str">
        <f t="shared" si="4"/>
        <v>LK Sri Lanka CCC: 0,706</v>
      </c>
      <c r="D270" s="118">
        <v>0.70599999999999996</v>
      </c>
      <c r="E270" s="110" t="s">
        <v>195</v>
      </c>
      <c r="F270" s="21"/>
      <c r="G270"/>
      <c r="H270" s="250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1"/>
      <c r="BP270" s="21"/>
      <c r="BQ270" s="21"/>
      <c r="BR270" s="21"/>
      <c r="BS270" s="21"/>
      <c r="BT270" s="21"/>
      <c r="BU270" s="21"/>
      <c r="BV270" s="21"/>
      <c r="BW270" s="21"/>
      <c r="BX270" s="21"/>
      <c r="BY270" s="21"/>
      <c r="BZ270" s="21"/>
      <c r="CA270" s="21"/>
      <c r="CB270" s="21"/>
      <c r="CC270" s="21"/>
      <c r="CD270" s="21"/>
      <c r="CE270" s="21"/>
      <c r="CF270" s="21"/>
      <c r="CG270" s="21"/>
      <c r="CH270" s="21"/>
      <c r="CI270" s="21"/>
      <c r="CJ270" s="21"/>
      <c r="CK270" s="21"/>
      <c r="CL270" s="21"/>
      <c r="CM270" s="21"/>
      <c r="CN270" s="21"/>
      <c r="CO270" s="21"/>
      <c r="CP270" s="21"/>
      <c r="CQ270" s="21"/>
      <c r="CR270" s="21"/>
      <c r="CS270" s="21"/>
      <c r="CT270" s="21"/>
    </row>
    <row r="271" spans="1:98" s="110" customFormat="1" outlineLevel="1" x14ac:dyDescent="0.3">
      <c r="A271" s="110" t="s">
        <v>464</v>
      </c>
      <c r="B271" s="117" t="s">
        <v>465</v>
      </c>
      <c r="C271" s="117" t="str">
        <f t="shared" si="4"/>
        <v>SD Sudan (the) CCC: 0,984</v>
      </c>
      <c r="D271" s="118">
        <v>0.98399999999999999</v>
      </c>
      <c r="E271" s="110" t="s">
        <v>195</v>
      </c>
      <c r="F271" s="21"/>
      <c r="G271"/>
      <c r="H271" s="250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  <c r="BL271" s="21"/>
      <c r="BM271" s="21"/>
      <c r="BN271" s="21"/>
      <c r="BO271" s="21"/>
      <c r="BP271" s="21"/>
      <c r="BQ271" s="21"/>
      <c r="BR271" s="21"/>
      <c r="BS271" s="21"/>
      <c r="BT271" s="21"/>
      <c r="BU271" s="21"/>
      <c r="BV271" s="21"/>
      <c r="BW271" s="21"/>
      <c r="BX271" s="21"/>
      <c r="BY271" s="21"/>
      <c r="BZ271" s="21"/>
      <c r="CA271" s="21"/>
      <c r="CB271" s="21"/>
      <c r="CC271" s="21"/>
      <c r="CD271" s="21"/>
      <c r="CE271" s="21"/>
      <c r="CF271" s="21"/>
      <c r="CG271" s="21"/>
      <c r="CH271" s="21"/>
      <c r="CI271" s="21"/>
      <c r="CJ271" s="21"/>
      <c r="CK271" s="21"/>
      <c r="CL271" s="21"/>
      <c r="CM271" s="21"/>
      <c r="CN271" s="21"/>
      <c r="CO271" s="21"/>
      <c r="CP271" s="21"/>
      <c r="CQ271" s="21"/>
      <c r="CR271" s="21"/>
      <c r="CS271" s="21"/>
      <c r="CT271" s="21"/>
    </row>
    <row r="272" spans="1:98" s="110" customFormat="1" outlineLevel="1" x14ac:dyDescent="0.3">
      <c r="A272" s="110" t="s">
        <v>466</v>
      </c>
      <c r="B272" s="117" t="s">
        <v>467</v>
      </c>
      <c r="C272" s="117" t="str">
        <f t="shared" si="4"/>
        <v>SR Suriname CCC: 0,63</v>
      </c>
      <c r="D272" s="118">
        <v>0.63</v>
      </c>
      <c r="E272" s="110" t="s">
        <v>195</v>
      </c>
      <c r="F272" s="21"/>
      <c r="G272"/>
      <c r="H272" s="250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  <c r="BO272" s="21"/>
      <c r="BP272" s="21"/>
      <c r="BQ272" s="21"/>
      <c r="BR272" s="21"/>
      <c r="BS272" s="21"/>
      <c r="BT272" s="21"/>
      <c r="BU272" s="21"/>
      <c r="BV272" s="21"/>
      <c r="BW272" s="21"/>
      <c r="BX272" s="21"/>
      <c r="BY272" s="21"/>
      <c r="BZ272" s="21"/>
      <c r="CA272" s="21"/>
      <c r="CB272" s="21"/>
      <c r="CC272" s="21"/>
      <c r="CD272" s="21"/>
      <c r="CE272" s="21"/>
      <c r="CF272" s="21"/>
      <c r="CG272" s="21"/>
      <c r="CH272" s="21"/>
      <c r="CI272" s="21"/>
      <c r="CJ272" s="21"/>
      <c r="CK272" s="21"/>
      <c r="CL272" s="21"/>
      <c r="CM272" s="21"/>
      <c r="CN272" s="21"/>
      <c r="CO272" s="21"/>
      <c r="CP272" s="21"/>
      <c r="CQ272" s="21"/>
      <c r="CR272" s="21"/>
      <c r="CS272" s="21"/>
      <c r="CT272" s="21"/>
    </row>
    <row r="273" spans="1:98" s="110" customFormat="1" outlineLevel="1" x14ac:dyDescent="0.3">
      <c r="A273" s="110" t="s">
        <v>468</v>
      </c>
      <c r="B273" s="117" t="s">
        <v>469</v>
      </c>
      <c r="C273" s="117" t="str">
        <f t="shared" si="4"/>
        <v>SE Sweden CCC: 1,144</v>
      </c>
      <c r="D273" s="118">
        <v>1.1439999999999999</v>
      </c>
      <c r="E273" s="110" t="s">
        <v>206</v>
      </c>
      <c r="F273" s="21"/>
      <c r="G273"/>
      <c r="H273" s="250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  <c r="BN273" s="21"/>
      <c r="BO273" s="21"/>
      <c r="BP273" s="21"/>
      <c r="BQ273" s="21"/>
      <c r="BR273" s="21"/>
      <c r="BS273" s="21"/>
      <c r="BT273" s="21"/>
      <c r="BU273" s="21"/>
      <c r="BV273" s="21"/>
      <c r="BW273" s="21"/>
      <c r="BX273" s="21"/>
      <c r="BY273" s="21"/>
      <c r="BZ273" s="21"/>
      <c r="CA273" s="21"/>
      <c r="CB273" s="21"/>
      <c r="CC273" s="21"/>
      <c r="CD273" s="21"/>
      <c r="CE273" s="21"/>
      <c r="CF273" s="21"/>
      <c r="CG273" s="21"/>
      <c r="CH273" s="21"/>
      <c r="CI273" s="21"/>
      <c r="CJ273" s="21"/>
      <c r="CK273" s="21"/>
      <c r="CL273" s="21"/>
      <c r="CM273" s="21"/>
      <c r="CN273" s="21"/>
      <c r="CO273" s="21"/>
      <c r="CP273" s="21"/>
      <c r="CQ273" s="21"/>
      <c r="CR273" s="21"/>
      <c r="CS273" s="21"/>
      <c r="CT273" s="21"/>
    </row>
    <row r="274" spans="1:98" s="110" customFormat="1" outlineLevel="1" x14ac:dyDescent="0.3">
      <c r="A274" s="110" t="s">
        <v>470</v>
      </c>
      <c r="B274" s="117" t="s">
        <v>471</v>
      </c>
      <c r="C274" s="117" t="str">
        <f t="shared" si="4"/>
        <v>CH Switzerland CCC: 1,173</v>
      </c>
      <c r="D274" s="118">
        <v>1.173</v>
      </c>
      <c r="E274" s="110" t="s">
        <v>192</v>
      </c>
      <c r="F274" s="21"/>
      <c r="G274" s="251"/>
      <c r="H274" s="252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  <c r="BL274" s="21"/>
      <c r="BM274" s="21"/>
      <c r="BN274" s="21"/>
      <c r="BO274" s="21"/>
      <c r="BP274" s="21"/>
      <c r="BQ274" s="21"/>
      <c r="BR274" s="21"/>
      <c r="BS274" s="21"/>
      <c r="BT274" s="21"/>
      <c r="BU274" s="21"/>
      <c r="BV274" s="21"/>
      <c r="BW274" s="21"/>
      <c r="BX274" s="21"/>
      <c r="BY274" s="21"/>
      <c r="BZ274" s="21"/>
      <c r="CA274" s="21"/>
      <c r="CB274" s="21"/>
      <c r="CC274" s="21"/>
      <c r="CD274" s="21"/>
      <c r="CE274" s="21"/>
      <c r="CF274" s="21"/>
      <c r="CG274" s="21"/>
      <c r="CH274" s="21"/>
      <c r="CI274" s="21"/>
      <c r="CJ274" s="21"/>
      <c r="CK274" s="21"/>
      <c r="CL274" s="21"/>
      <c r="CM274" s="21"/>
      <c r="CN274" s="21"/>
      <c r="CO274" s="21"/>
      <c r="CP274" s="21"/>
      <c r="CQ274" s="21"/>
      <c r="CR274" s="21"/>
      <c r="CS274" s="21"/>
      <c r="CT274" s="21"/>
    </row>
    <row r="275" spans="1:98" s="110" customFormat="1" outlineLevel="1" x14ac:dyDescent="0.3">
      <c r="A275" s="110" t="s">
        <v>472</v>
      </c>
      <c r="B275" s="117" t="s">
        <v>473</v>
      </c>
      <c r="C275" s="117" t="str">
        <f t="shared" si="4"/>
        <v xml:space="preserve">SY Syrian Arab Republic (the) CCC: </v>
      </c>
      <c r="D275" s="118"/>
      <c r="E275" s="110" t="s">
        <v>195</v>
      </c>
      <c r="F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  <c r="BL275" s="21"/>
      <c r="BM275" s="21"/>
      <c r="BN275" s="21"/>
      <c r="BO275" s="21"/>
      <c r="BP275" s="21"/>
      <c r="BQ275" s="21"/>
      <c r="BR275" s="21"/>
      <c r="BS275" s="21"/>
      <c r="BT275" s="21"/>
      <c r="BU275" s="21"/>
      <c r="BV275" s="21"/>
      <c r="BW275" s="21"/>
      <c r="BX275" s="21"/>
      <c r="BY275" s="21"/>
      <c r="BZ275" s="21"/>
      <c r="CA275" s="21"/>
      <c r="CB275" s="21"/>
      <c r="CC275" s="21"/>
      <c r="CD275" s="21"/>
      <c r="CE275" s="21"/>
      <c r="CF275" s="21"/>
      <c r="CG275" s="21"/>
      <c r="CH275" s="21"/>
      <c r="CI275" s="21"/>
      <c r="CJ275" s="21"/>
      <c r="CK275" s="21"/>
      <c r="CL275" s="21"/>
      <c r="CM275" s="21"/>
      <c r="CN275" s="21"/>
      <c r="CO275" s="21"/>
      <c r="CP275" s="21"/>
      <c r="CQ275" s="21"/>
      <c r="CR275" s="21"/>
      <c r="CS275" s="21"/>
      <c r="CT275" s="21"/>
    </row>
    <row r="276" spans="1:98" s="110" customFormat="1" outlineLevel="1" x14ac:dyDescent="0.3">
      <c r="A276" s="110" t="s">
        <v>474</v>
      </c>
      <c r="B276" s="117" t="s">
        <v>475</v>
      </c>
      <c r="C276" s="117" t="str">
        <f t="shared" si="4"/>
        <v>TW Taiwan (Province of China) CCC: 0,773</v>
      </c>
      <c r="D276" s="118">
        <v>0.77300000000000002</v>
      </c>
      <c r="E276" s="110" t="s">
        <v>195</v>
      </c>
      <c r="F276" s="21"/>
      <c r="G276"/>
      <c r="H276" s="250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  <c r="BL276" s="21"/>
      <c r="BM276" s="21"/>
      <c r="BN276" s="21"/>
      <c r="BO276" s="21"/>
      <c r="BP276" s="21"/>
      <c r="BQ276" s="21"/>
      <c r="BR276" s="21"/>
      <c r="BS276" s="21"/>
      <c r="BT276" s="21"/>
      <c r="BU276" s="21"/>
      <c r="BV276" s="21"/>
      <c r="BW276" s="21"/>
      <c r="BX276" s="21"/>
      <c r="BY276" s="21"/>
      <c r="BZ276" s="21"/>
      <c r="CA276" s="21"/>
      <c r="CB276" s="21"/>
      <c r="CC276" s="21"/>
      <c r="CD276" s="21"/>
      <c r="CE276" s="21"/>
      <c r="CF276" s="21"/>
      <c r="CG276" s="21"/>
      <c r="CH276" s="21"/>
      <c r="CI276" s="21"/>
      <c r="CJ276" s="21"/>
      <c r="CK276" s="21"/>
      <c r="CL276" s="21"/>
      <c r="CM276" s="21"/>
      <c r="CN276" s="21"/>
      <c r="CO276" s="21"/>
      <c r="CP276" s="21"/>
      <c r="CQ276" s="21"/>
      <c r="CR276" s="21"/>
      <c r="CS276" s="21"/>
      <c r="CT276" s="21"/>
    </row>
    <row r="277" spans="1:98" s="110" customFormat="1" outlineLevel="1" x14ac:dyDescent="0.3">
      <c r="A277" s="110" t="s">
        <v>476</v>
      </c>
      <c r="B277" s="117" t="s">
        <v>477</v>
      </c>
      <c r="C277" s="117" t="str">
        <f t="shared" si="4"/>
        <v>TJ Tajikistan CCC: 0,533</v>
      </c>
      <c r="D277" s="118">
        <v>0.53300000000000003</v>
      </c>
      <c r="E277" s="110" t="s">
        <v>195</v>
      </c>
      <c r="F277" s="21"/>
      <c r="G277"/>
      <c r="H277" s="250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  <c r="BL277" s="21"/>
      <c r="BM277" s="21"/>
      <c r="BN277" s="21"/>
      <c r="BO277" s="21"/>
      <c r="BP277" s="21"/>
      <c r="BQ277" s="21"/>
      <c r="BR277" s="21"/>
      <c r="BS277" s="21"/>
      <c r="BT277" s="21"/>
      <c r="BU277" s="21"/>
      <c r="BV277" s="21"/>
      <c r="BW277" s="21"/>
      <c r="BX277" s="21"/>
      <c r="BY277" s="21"/>
      <c r="BZ277" s="21"/>
      <c r="CA277" s="21"/>
      <c r="CB277" s="21"/>
      <c r="CC277" s="21"/>
      <c r="CD277" s="21"/>
      <c r="CE277" s="21"/>
      <c r="CF277" s="21"/>
      <c r="CG277" s="21"/>
      <c r="CH277" s="21"/>
      <c r="CI277" s="21"/>
      <c r="CJ277" s="21"/>
      <c r="CK277" s="21"/>
      <c r="CL277" s="21"/>
      <c r="CM277" s="21"/>
      <c r="CN277" s="21"/>
      <c r="CO277" s="21"/>
      <c r="CP277" s="21"/>
      <c r="CQ277" s="21"/>
      <c r="CR277" s="21"/>
      <c r="CS277" s="21"/>
      <c r="CT277" s="21"/>
    </row>
    <row r="278" spans="1:98" s="110" customFormat="1" outlineLevel="1" x14ac:dyDescent="0.3">
      <c r="A278" s="110" t="s">
        <v>478</v>
      </c>
      <c r="B278" s="117" t="s">
        <v>479</v>
      </c>
      <c r="C278" s="117" t="str">
        <f t="shared" si="4"/>
        <v>TZ Tanzania, the United Republic of CCC: 0,62</v>
      </c>
      <c r="D278" s="118">
        <v>0.62</v>
      </c>
      <c r="E278" s="110" t="s">
        <v>195</v>
      </c>
      <c r="F278" s="21"/>
      <c r="G278" s="251"/>
      <c r="H278" s="252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  <c r="BL278" s="21"/>
      <c r="BM278" s="21"/>
      <c r="BN278" s="21"/>
      <c r="BO278" s="21"/>
      <c r="BP278" s="21"/>
      <c r="BQ278" s="21"/>
      <c r="BR278" s="21"/>
      <c r="BS278" s="21"/>
      <c r="BT278" s="21"/>
      <c r="BU278" s="21"/>
      <c r="BV278" s="21"/>
      <c r="BW278" s="21"/>
      <c r="BX278" s="21"/>
      <c r="BY278" s="21"/>
      <c r="BZ278" s="21"/>
      <c r="CA278" s="21"/>
      <c r="CB278" s="21"/>
      <c r="CC278" s="21"/>
      <c r="CD278" s="21"/>
      <c r="CE278" s="21"/>
      <c r="CF278" s="21"/>
      <c r="CG278" s="21"/>
      <c r="CH278" s="21"/>
      <c r="CI278" s="21"/>
      <c r="CJ278" s="21"/>
      <c r="CK278" s="21"/>
      <c r="CL278" s="21"/>
      <c r="CM278" s="21"/>
      <c r="CN278" s="21"/>
      <c r="CO278" s="21"/>
      <c r="CP278" s="21"/>
      <c r="CQ278" s="21"/>
      <c r="CR278" s="21"/>
      <c r="CS278" s="21"/>
      <c r="CT278" s="21"/>
    </row>
    <row r="279" spans="1:98" s="110" customFormat="1" outlineLevel="1" x14ac:dyDescent="0.3">
      <c r="A279" s="110" t="s">
        <v>480</v>
      </c>
      <c r="B279" s="117" t="s">
        <v>481</v>
      </c>
      <c r="C279" s="117" t="str">
        <f t="shared" si="4"/>
        <v>TH Thailand CCC: 0,719</v>
      </c>
      <c r="D279" s="118">
        <v>0.71899999999999997</v>
      </c>
      <c r="E279" s="110" t="s">
        <v>195</v>
      </c>
      <c r="F279" s="21"/>
      <c r="G279" s="251"/>
      <c r="H279" s="252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  <c r="BL279" s="21"/>
      <c r="BM279" s="21"/>
      <c r="BN279" s="21"/>
      <c r="BO279" s="21"/>
      <c r="BP279" s="21"/>
      <c r="BQ279" s="21"/>
      <c r="BR279" s="21"/>
      <c r="BS279" s="21"/>
      <c r="BT279" s="21"/>
      <c r="BU279" s="21"/>
      <c r="BV279" s="21"/>
      <c r="BW279" s="21"/>
      <c r="BX279" s="21"/>
      <c r="BY279" s="21"/>
      <c r="BZ279" s="21"/>
      <c r="CA279" s="21"/>
      <c r="CB279" s="21"/>
      <c r="CC279" s="21"/>
      <c r="CD279" s="21"/>
      <c r="CE279" s="21"/>
      <c r="CF279" s="21"/>
      <c r="CG279" s="21"/>
      <c r="CH279" s="21"/>
      <c r="CI279" s="21"/>
      <c r="CJ279" s="21"/>
      <c r="CK279" s="21"/>
      <c r="CL279" s="21"/>
      <c r="CM279" s="21"/>
      <c r="CN279" s="21"/>
      <c r="CO279" s="21"/>
      <c r="CP279" s="21"/>
      <c r="CQ279" s="21"/>
      <c r="CR279" s="21"/>
      <c r="CS279" s="21"/>
      <c r="CT279" s="21"/>
    </row>
    <row r="280" spans="1:98" s="110" customFormat="1" outlineLevel="1" x14ac:dyDescent="0.3">
      <c r="A280" s="110" t="s">
        <v>482</v>
      </c>
      <c r="B280" s="117" t="s">
        <v>483</v>
      </c>
      <c r="C280" s="117" t="str">
        <f t="shared" si="4"/>
        <v>TL Timor-Leste CCC: 0,809</v>
      </c>
      <c r="D280" s="118">
        <v>0.80900000000000005</v>
      </c>
      <c r="E280" s="110" t="s">
        <v>195</v>
      </c>
      <c r="F280" s="21"/>
      <c r="G280" s="251"/>
      <c r="H280" s="252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/>
      <c r="BL280" s="21"/>
      <c r="BM280" s="21"/>
      <c r="BN280" s="21"/>
      <c r="BO280" s="21"/>
      <c r="BP280" s="21"/>
      <c r="BQ280" s="21"/>
      <c r="BR280" s="21"/>
      <c r="BS280" s="21"/>
      <c r="BT280" s="21"/>
      <c r="BU280" s="21"/>
      <c r="BV280" s="21"/>
      <c r="BW280" s="21"/>
      <c r="BX280" s="21"/>
      <c r="BY280" s="21"/>
      <c r="BZ280" s="21"/>
      <c r="CA280" s="21"/>
      <c r="CB280" s="21"/>
      <c r="CC280" s="21"/>
      <c r="CD280" s="21"/>
      <c r="CE280" s="21"/>
      <c r="CF280" s="21"/>
      <c r="CG280" s="21"/>
      <c r="CH280" s="21"/>
      <c r="CI280" s="21"/>
      <c r="CJ280" s="21"/>
      <c r="CK280" s="21"/>
      <c r="CL280" s="21"/>
      <c r="CM280" s="21"/>
      <c r="CN280" s="21"/>
      <c r="CO280" s="21"/>
      <c r="CP280" s="21"/>
      <c r="CQ280" s="21"/>
      <c r="CR280" s="21"/>
      <c r="CS280" s="21"/>
      <c r="CT280" s="21"/>
    </row>
    <row r="281" spans="1:98" s="110" customFormat="1" outlineLevel="1" x14ac:dyDescent="0.3">
      <c r="A281" s="110" t="s">
        <v>484</v>
      </c>
      <c r="B281" s="117" t="s">
        <v>485</v>
      </c>
      <c r="C281" s="117" t="str">
        <f t="shared" si="4"/>
        <v>TG Togo CCC: 0,755</v>
      </c>
      <c r="D281" s="118">
        <v>0.755</v>
      </c>
      <c r="E281" s="110" t="s">
        <v>195</v>
      </c>
      <c r="F281" s="21"/>
      <c r="G281"/>
      <c r="H281" s="250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/>
      <c r="BL281" s="21"/>
      <c r="BM281" s="21"/>
      <c r="BN281" s="21"/>
      <c r="BO281" s="21"/>
      <c r="BP281" s="21"/>
      <c r="BQ281" s="21"/>
      <c r="BR281" s="21"/>
      <c r="BS281" s="21"/>
      <c r="BT281" s="21"/>
      <c r="BU281" s="21"/>
      <c r="BV281" s="21"/>
      <c r="BW281" s="21"/>
      <c r="BX281" s="21"/>
      <c r="BY281" s="21"/>
      <c r="BZ281" s="21"/>
      <c r="CA281" s="21"/>
      <c r="CB281" s="21"/>
      <c r="CC281" s="21"/>
      <c r="CD281" s="21"/>
      <c r="CE281" s="21"/>
      <c r="CF281" s="21"/>
      <c r="CG281" s="21"/>
      <c r="CH281" s="21"/>
      <c r="CI281" s="21"/>
      <c r="CJ281" s="21"/>
      <c r="CK281" s="21"/>
      <c r="CL281" s="21"/>
      <c r="CM281" s="21"/>
      <c r="CN281" s="21"/>
      <c r="CO281" s="21"/>
      <c r="CP281" s="21"/>
      <c r="CQ281" s="21"/>
      <c r="CR281" s="21"/>
      <c r="CS281" s="21"/>
      <c r="CT281" s="21"/>
    </row>
    <row r="282" spans="1:98" s="110" customFormat="1" outlineLevel="1" x14ac:dyDescent="0.3">
      <c r="A282" s="110" t="s">
        <v>486</v>
      </c>
      <c r="B282" s="117" t="s">
        <v>487</v>
      </c>
      <c r="C282" s="117" t="str">
        <f t="shared" si="4"/>
        <v xml:space="preserve">TO Tonga CCC: </v>
      </c>
      <c r="D282" s="118"/>
      <c r="E282" s="110" t="s">
        <v>195</v>
      </c>
      <c r="F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  <c r="BL282" s="21"/>
      <c r="BM282" s="21"/>
      <c r="BN282" s="21"/>
      <c r="BO282" s="21"/>
      <c r="BP282" s="21"/>
      <c r="BQ282" s="21"/>
      <c r="BR282" s="21"/>
      <c r="BS282" s="21"/>
      <c r="BT282" s="21"/>
      <c r="BU282" s="21"/>
      <c r="BV282" s="21"/>
      <c r="BW282" s="21"/>
      <c r="BX282" s="21"/>
      <c r="BY282" s="21"/>
      <c r="BZ282" s="21"/>
      <c r="CA282" s="21"/>
      <c r="CB282" s="21"/>
      <c r="CC282" s="21"/>
      <c r="CD282" s="21"/>
      <c r="CE282" s="21"/>
      <c r="CF282" s="21"/>
      <c r="CG282" s="21"/>
      <c r="CH282" s="21"/>
      <c r="CI282" s="21"/>
      <c r="CJ282" s="21"/>
      <c r="CK282" s="21"/>
      <c r="CL282" s="21"/>
      <c r="CM282" s="21"/>
      <c r="CN282" s="21"/>
      <c r="CO282" s="21"/>
      <c r="CP282" s="21"/>
      <c r="CQ282" s="21"/>
      <c r="CR282" s="21"/>
      <c r="CS282" s="21"/>
      <c r="CT282" s="21"/>
    </row>
    <row r="283" spans="1:98" s="110" customFormat="1" outlineLevel="1" x14ac:dyDescent="0.3">
      <c r="A283" s="110" t="s">
        <v>488</v>
      </c>
      <c r="B283" s="117" t="s">
        <v>489</v>
      </c>
      <c r="C283" s="117" t="str">
        <f t="shared" si="4"/>
        <v>TT Trinidad and Tobago CCC: 0,746</v>
      </c>
      <c r="D283" s="118">
        <v>0.746</v>
      </c>
      <c r="E283" s="110" t="s">
        <v>195</v>
      </c>
      <c r="F283" s="21"/>
      <c r="G283" s="251"/>
      <c r="H283" s="252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  <c r="BO283" s="21"/>
      <c r="BP283" s="21"/>
      <c r="BQ283" s="21"/>
      <c r="BR283" s="21"/>
      <c r="BS283" s="21"/>
      <c r="BT283" s="21"/>
      <c r="BU283" s="21"/>
      <c r="BV283" s="21"/>
      <c r="BW283" s="21"/>
      <c r="BX283" s="21"/>
      <c r="BY283" s="21"/>
      <c r="BZ283" s="21"/>
      <c r="CA283" s="21"/>
      <c r="CB283" s="21"/>
      <c r="CC283" s="21"/>
      <c r="CD283" s="21"/>
      <c r="CE283" s="21"/>
      <c r="CF283" s="21"/>
      <c r="CG283" s="21"/>
      <c r="CH283" s="21"/>
      <c r="CI283" s="21"/>
      <c r="CJ283" s="21"/>
      <c r="CK283" s="21"/>
      <c r="CL283" s="21"/>
      <c r="CM283" s="21"/>
      <c r="CN283" s="21"/>
      <c r="CO283" s="21"/>
      <c r="CP283" s="21"/>
      <c r="CQ283" s="21"/>
      <c r="CR283" s="21"/>
      <c r="CS283" s="21"/>
      <c r="CT283" s="21"/>
    </row>
    <row r="284" spans="1:98" s="110" customFormat="1" outlineLevel="1" x14ac:dyDescent="0.3">
      <c r="A284" s="110" t="s">
        <v>490</v>
      </c>
      <c r="B284" s="117" t="s">
        <v>491</v>
      </c>
      <c r="C284" s="117" t="str">
        <f t="shared" si="4"/>
        <v>TN Tunisia CCC: 0,615</v>
      </c>
      <c r="D284" s="118">
        <v>0.61499999999999999</v>
      </c>
      <c r="E284" s="110" t="s">
        <v>192</v>
      </c>
      <c r="F284" s="21"/>
      <c r="G284" s="251"/>
      <c r="H284" s="252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  <c r="BL284" s="21"/>
      <c r="BM284" s="21"/>
      <c r="BN284" s="21"/>
      <c r="BO284" s="21"/>
      <c r="BP284" s="21"/>
      <c r="BQ284" s="21"/>
      <c r="BR284" s="21"/>
      <c r="BS284" s="21"/>
      <c r="BT284" s="21"/>
      <c r="BU284" s="21"/>
      <c r="BV284" s="21"/>
      <c r="BW284" s="21"/>
      <c r="BX284" s="21"/>
      <c r="BY284" s="21"/>
      <c r="BZ284" s="21"/>
      <c r="CA284" s="21"/>
      <c r="CB284" s="21"/>
      <c r="CC284" s="21"/>
      <c r="CD284" s="21"/>
      <c r="CE284" s="21"/>
      <c r="CF284" s="21"/>
      <c r="CG284" s="21"/>
      <c r="CH284" s="21"/>
      <c r="CI284" s="21"/>
      <c r="CJ284" s="21"/>
      <c r="CK284" s="21"/>
      <c r="CL284" s="21"/>
      <c r="CM284" s="21"/>
      <c r="CN284" s="21"/>
      <c r="CO284" s="21"/>
      <c r="CP284" s="21"/>
      <c r="CQ284" s="21"/>
      <c r="CR284" s="21"/>
      <c r="CS284" s="21"/>
      <c r="CT284" s="21"/>
    </row>
    <row r="285" spans="1:98" s="110" customFormat="1" outlineLevel="1" x14ac:dyDescent="0.3">
      <c r="A285" s="110" t="s">
        <v>492</v>
      </c>
      <c r="B285" s="117" t="s">
        <v>493</v>
      </c>
      <c r="C285" s="117" t="str">
        <f t="shared" si="4"/>
        <v>TR Turkey CCC: 0,589</v>
      </c>
      <c r="D285" s="118">
        <v>0.58899999999999997</v>
      </c>
      <c r="E285" s="110" t="s">
        <v>192</v>
      </c>
      <c r="F285" s="21"/>
      <c r="G285"/>
      <c r="H285" s="250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  <c r="BN285" s="21"/>
      <c r="BO285" s="21"/>
      <c r="BP285" s="21"/>
      <c r="BQ285" s="21"/>
      <c r="BR285" s="21"/>
      <c r="BS285" s="21"/>
      <c r="BT285" s="21"/>
      <c r="BU285" s="21"/>
      <c r="BV285" s="21"/>
      <c r="BW285" s="21"/>
      <c r="BX285" s="21"/>
      <c r="BY285" s="21"/>
      <c r="BZ285" s="21"/>
      <c r="CA285" s="21"/>
      <c r="CB285" s="21"/>
      <c r="CC285" s="21"/>
      <c r="CD285" s="21"/>
      <c r="CE285" s="21"/>
      <c r="CF285" s="21"/>
      <c r="CG285" s="21"/>
      <c r="CH285" s="21"/>
      <c r="CI285" s="21"/>
      <c r="CJ285" s="21"/>
      <c r="CK285" s="21"/>
      <c r="CL285" s="21"/>
      <c r="CM285" s="21"/>
      <c r="CN285" s="21"/>
      <c r="CO285" s="21"/>
      <c r="CP285" s="21"/>
      <c r="CQ285" s="21"/>
      <c r="CR285" s="21"/>
      <c r="CS285" s="21"/>
      <c r="CT285" s="21"/>
    </row>
    <row r="286" spans="1:98" s="110" customFormat="1" outlineLevel="1" x14ac:dyDescent="0.3">
      <c r="A286" s="110" t="s">
        <v>494</v>
      </c>
      <c r="B286" s="117" t="s">
        <v>495</v>
      </c>
      <c r="C286" s="117" t="str">
        <f t="shared" si="4"/>
        <v>TM Turkmenistan CCC: 0,756</v>
      </c>
      <c r="D286" s="118">
        <v>0.75600000000000001</v>
      </c>
      <c r="E286" s="110" t="s">
        <v>195</v>
      </c>
      <c r="F286" s="21"/>
      <c r="G286"/>
      <c r="H286" s="250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  <c r="BN286" s="21"/>
      <c r="BO286" s="21"/>
      <c r="BP286" s="21"/>
      <c r="BQ286" s="21"/>
      <c r="BR286" s="21"/>
      <c r="BS286" s="21"/>
      <c r="BT286" s="21"/>
      <c r="BU286" s="21"/>
      <c r="BV286" s="21"/>
      <c r="BW286" s="21"/>
      <c r="BX286" s="21"/>
      <c r="BY286" s="21"/>
      <c r="BZ286" s="21"/>
      <c r="CA286" s="21"/>
      <c r="CB286" s="21"/>
      <c r="CC286" s="21"/>
      <c r="CD286" s="21"/>
      <c r="CE286" s="21"/>
      <c r="CF286" s="21"/>
      <c r="CG286" s="21"/>
      <c r="CH286" s="21"/>
      <c r="CI286" s="21"/>
      <c r="CJ286" s="21"/>
      <c r="CK286" s="21"/>
      <c r="CL286" s="21"/>
      <c r="CM286" s="21"/>
      <c r="CN286" s="21"/>
      <c r="CO286" s="21"/>
      <c r="CP286" s="21"/>
      <c r="CQ286" s="21"/>
      <c r="CR286" s="21"/>
      <c r="CS286" s="21"/>
      <c r="CT286" s="21"/>
    </row>
    <row r="287" spans="1:98" s="110" customFormat="1" outlineLevel="1" x14ac:dyDescent="0.3">
      <c r="A287" s="110" t="s">
        <v>496</v>
      </c>
      <c r="B287" s="117" t="s">
        <v>497</v>
      </c>
      <c r="C287" s="117" t="str">
        <f t="shared" si="4"/>
        <v>UG Uganda CCC: 0,613</v>
      </c>
      <c r="D287" s="118">
        <v>0.61299999999999999</v>
      </c>
      <c r="E287" s="110" t="s">
        <v>195</v>
      </c>
      <c r="F287" s="21"/>
      <c r="G287" s="251"/>
      <c r="H287" s="252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  <c r="BL287" s="21"/>
      <c r="BM287" s="21"/>
      <c r="BN287" s="21"/>
      <c r="BO287" s="21"/>
      <c r="BP287" s="21"/>
      <c r="BQ287" s="21"/>
      <c r="BR287" s="21"/>
      <c r="BS287" s="21"/>
      <c r="BT287" s="21"/>
      <c r="BU287" s="21"/>
      <c r="BV287" s="21"/>
      <c r="BW287" s="21"/>
      <c r="BX287" s="21"/>
      <c r="BY287" s="21"/>
      <c r="BZ287" s="21"/>
      <c r="CA287" s="21"/>
      <c r="CB287" s="21"/>
      <c r="CC287" s="21"/>
      <c r="CD287" s="21"/>
      <c r="CE287" s="21"/>
      <c r="CF287" s="21"/>
      <c r="CG287" s="21"/>
      <c r="CH287" s="21"/>
      <c r="CI287" s="21"/>
      <c r="CJ287" s="21"/>
      <c r="CK287" s="21"/>
      <c r="CL287" s="21"/>
      <c r="CM287" s="21"/>
      <c r="CN287" s="21"/>
      <c r="CO287" s="21"/>
      <c r="CP287" s="21"/>
      <c r="CQ287" s="21"/>
      <c r="CR287" s="21"/>
      <c r="CS287" s="21"/>
      <c r="CT287" s="21"/>
    </row>
    <row r="288" spans="1:98" s="110" customFormat="1" outlineLevel="1" x14ac:dyDescent="0.3">
      <c r="A288" s="110" t="s">
        <v>498</v>
      </c>
      <c r="B288" s="117" t="s">
        <v>499</v>
      </c>
      <c r="C288" s="117" t="str">
        <f t="shared" si="4"/>
        <v>UA Ukraine CCC: 0,625</v>
      </c>
      <c r="D288" s="118">
        <v>0.625</v>
      </c>
      <c r="E288" s="110" t="s">
        <v>192</v>
      </c>
      <c r="F288" s="21"/>
      <c r="G288"/>
      <c r="H288" s="250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  <c r="BL288" s="21"/>
      <c r="BM288" s="21"/>
      <c r="BN288" s="21"/>
      <c r="BO288" s="21"/>
      <c r="BP288" s="21"/>
      <c r="BQ288" s="21"/>
      <c r="BR288" s="21"/>
      <c r="BS288" s="21"/>
      <c r="BT288" s="21"/>
      <c r="BU288" s="21"/>
      <c r="BV288" s="21"/>
      <c r="BW288" s="21"/>
      <c r="BX288" s="21"/>
      <c r="BY288" s="21"/>
      <c r="BZ288" s="21"/>
      <c r="CA288" s="21"/>
      <c r="CB288" s="21"/>
      <c r="CC288" s="21"/>
      <c r="CD288" s="21"/>
      <c r="CE288" s="21"/>
      <c r="CF288" s="21"/>
      <c r="CG288" s="21"/>
      <c r="CH288" s="21"/>
      <c r="CI288" s="21"/>
      <c r="CJ288" s="21"/>
      <c r="CK288" s="21"/>
      <c r="CL288" s="21"/>
      <c r="CM288" s="21"/>
      <c r="CN288" s="21"/>
      <c r="CO288" s="21"/>
      <c r="CP288" s="21"/>
      <c r="CQ288" s="21"/>
      <c r="CR288" s="21"/>
      <c r="CS288" s="21"/>
      <c r="CT288" s="21"/>
    </row>
    <row r="289" spans="1:98" s="110" customFormat="1" outlineLevel="1" x14ac:dyDescent="0.3">
      <c r="A289" s="110" t="s">
        <v>500</v>
      </c>
      <c r="B289" s="117" t="s">
        <v>501</v>
      </c>
      <c r="C289" s="117" t="str">
        <f t="shared" si="4"/>
        <v>AE United Arab Emirates (the) CCC: 0,858</v>
      </c>
      <c r="D289" s="118">
        <v>0.85799999999999998</v>
      </c>
      <c r="E289" s="110" t="s">
        <v>195</v>
      </c>
      <c r="F289" s="21"/>
      <c r="G289" s="251"/>
      <c r="H289" s="252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  <c r="BO289" s="21"/>
      <c r="BP289" s="21"/>
      <c r="BQ289" s="21"/>
      <c r="BR289" s="21"/>
      <c r="BS289" s="21"/>
      <c r="BT289" s="21"/>
      <c r="BU289" s="21"/>
      <c r="BV289" s="21"/>
      <c r="BW289" s="21"/>
      <c r="BX289" s="21"/>
      <c r="BY289" s="21"/>
      <c r="BZ289" s="21"/>
      <c r="CA289" s="21"/>
      <c r="CB289" s="21"/>
      <c r="CC289" s="21"/>
      <c r="CD289" s="21"/>
      <c r="CE289" s="21"/>
      <c r="CF289" s="21"/>
      <c r="CG289" s="21"/>
      <c r="CH289" s="21"/>
      <c r="CI289" s="21"/>
      <c r="CJ289" s="21"/>
      <c r="CK289" s="21"/>
      <c r="CL289" s="21"/>
      <c r="CM289" s="21"/>
      <c r="CN289" s="21"/>
      <c r="CO289" s="21"/>
      <c r="CP289" s="21"/>
      <c r="CQ289" s="21"/>
      <c r="CR289" s="21"/>
      <c r="CS289" s="21"/>
      <c r="CT289" s="21"/>
    </row>
    <row r="290" spans="1:98" s="110" customFormat="1" outlineLevel="1" x14ac:dyDescent="0.3">
      <c r="A290" s="110" t="s">
        <v>502</v>
      </c>
      <c r="B290" s="117" t="s">
        <v>503</v>
      </c>
      <c r="C290" s="117" t="str">
        <f t="shared" si="4"/>
        <v>UK United Kingdom of Great Britain and Northern Ireland (the) CCC: 1,249</v>
      </c>
      <c r="D290" s="118">
        <v>1.2490000000000001</v>
      </c>
      <c r="E290" s="110" t="s">
        <v>206</v>
      </c>
      <c r="F290" s="21"/>
      <c r="G290"/>
      <c r="H290" s="250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  <c r="BL290" s="21"/>
      <c r="BM290" s="21"/>
      <c r="BN290" s="21"/>
      <c r="BO290" s="21"/>
      <c r="BP290" s="21"/>
      <c r="BQ290" s="21"/>
      <c r="BR290" s="21"/>
      <c r="BS290" s="21"/>
      <c r="BT290" s="21"/>
      <c r="BU290" s="21"/>
      <c r="BV290" s="21"/>
      <c r="BW290" s="21"/>
      <c r="BX290" s="21"/>
      <c r="BY290" s="21"/>
      <c r="BZ290" s="21"/>
      <c r="CA290" s="21"/>
      <c r="CB290" s="21"/>
      <c r="CC290" s="21"/>
      <c r="CD290" s="21"/>
      <c r="CE290" s="21"/>
      <c r="CF290" s="21"/>
      <c r="CG290" s="21"/>
      <c r="CH290" s="21"/>
      <c r="CI290" s="21"/>
      <c r="CJ290" s="21"/>
      <c r="CK290" s="21"/>
      <c r="CL290" s="21"/>
      <c r="CM290" s="21"/>
      <c r="CN290" s="21"/>
      <c r="CO290" s="21"/>
      <c r="CP290" s="21"/>
      <c r="CQ290" s="21"/>
      <c r="CR290" s="21"/>
      <c r="CS290" s="21"/>
      <c r="CT290" s="21"/>
    </row>
    <row r="291" spans="1:98" s="110" customFormat="1" outlineLevel="1" x14ac:dyDescent="0.3">
      <c r="A291" s="110" t="s">
        <v>504</v>
      </c>
      <c r="B291" s="117" t="s">
        <v>505</v>
      </c>
      <c r="C291" s="117" t="str">
        <f t="shared" si="4"/>
        <v>US United States of America (the) CCC: 0,933</v>
      </c>
      <c r="D291" s="118">
        <v>0.93300000000000005</v>
      </c>
      <c r="E291" s="110" t="s">
        <v>195</v>
      </c>
      <c r="F291" s="21"/>
      <c r="G291" s="251"/>
      <c r="H291" s="252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  <c r="BL291" s="21"/>
      <c r="BM291" s="21"/>
      <c r="BN291" s="21"/>
      <c r="BO291" s="21"/>
      <c r="BP291" s="21"/>
      <c r="BQ291" s="21"/>
      <c r="BR291" s="21"/>
      <c r="BS291" s="21"/>
      <c r="BT291" s="21"/>
      <c r="BU291" s="21"/>
      <c r="BV291" s="21"/>
      <c r="BW291" s="21"/>
      <c r="BX291" s="21"/>
      <c r="BY291" s="21"/>
      <c r="BZ291" s="21"/>
      <c r="CA291" s="21"/>
      <c r="CB291" s="21"/>
      <c r="CC291" s="21"/>
      <c r="CD291" s="21"/>
      <c r="CE291" s="21"/>
      <c r="CF291" s="21"/>
      <c r="CG291" s="21"/>
      <c r="CH291" s="21"/>
      <c r="CI291" s="21"/>
      <c r="CJ291" s="21"/>
      <c r="CK291" s="21"/>
      <c r="CL291" s="21"/>
      <c r="CM291" s="21"/>
      <c r="CN291" s="21"/>
      <c r="CO291" s="21"/>
      <c r="CP291" s="21"/>
      <c r="CQ291" s="21"/>
      <c r="CR291" s="21"/>
      <c r="CS291" s="21"/>
      <c r="CT291" s="21"/>
    </row>
    <row r="292" spans="1:98" s="110" customFormat="1" outlineLevel="1" x14ac:dyDescent="0.3">
      <c r="A292" s="110" t="s">
        <v>506</v>
      </c>
      <c r="B292" s="117" t="s">
        <v>507</v>
      </c>
      <c r="C292" s="117" t="str">
        <f t="shared" si="4"/>
        <v>UY Uruguay CCC: 0,818</v>
      </c>
      <c r="D292" s="118">
        <v>0.81799999999999995</v>
      </c>
      <c r="E292" s="110" t="s">
        <v>195</v>
      </c>
      <c r="F292" s="21"/>
      <c r="G292"/>
      <c r="H292" s="250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/>
      <c r="BL292" s="21"/>
      <c r="BM292" s="21"/>
      <c r="BN292" s="21"/>
      <c r="BO292" s="21"/>
      <c r="BP292" s="21"/>
      <c r="BQ292" s="21"/>
      <c r="BR292" s="21"/>
      <c r="BS292" s="21"/>
      <c r="BT292" s="21"/>
      <c r="BU292" s="21"/>
      <c r="BV292" s="21"/>
      <c r="BW292" s="21"/>
      <c r="BX292" s="21"/>
      <c r="BY292" s="21"/>
      <c r="BZ292" s="21"/>
      <c r="CA292" s="21"/>
      <c r="CB292" s="21"/>
      <c r="CC292" s="21"/>
      <c r="CD292" s="21"/>
      <c r="CE292" s="21"/>
      <c r="CF292" s="21"/>
      <c r="CG292" s="21"/>
      <c r="CH292" s="21"/>
      <c r="CI292" s="21"/>
      <c r="CJ292" s="21"/>
      <c r="CK292" s="21"/>
      <c r="CL292" s="21"/>
      <c r="CM292" s="21"/>
      <c r="CN292" s="21"/>
      <c r="CO292" s="21"/>
      <c r="CP292" s="21"/>
      <c r="CQ292" s="21"/>
      <c r="CR292" s="21"/>
      <c r="CS292" s="21"/>
      <c r="CT292" s="21"/>
    </row>
    <row r="293" spans="1:98" s="110" customFormat="1" outlineLevel="1" x14ac:dyDescent="0.3">
      <c r="A293" s="110" t="s">
        <v>508</v>
      </c>
      <c r="B293" s="117" t="s">
        <v>509</v>
      </c>
      <c r="C293" s="117" t="str">
        <f t="shared" si="4"/>
        <v>UZ Uzbekistan CCC: 0,62</v>
      </c>
      <c r="D293" s="118">
        <v>0.62</v>
      </c>
      <c r="E293" s="110" t="s">
        <v>195</v>
      </c>
      <c r="F293" s="21"/>
      <c r="G293" s="251"/>
      <c r="H293" s="252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/>
      <c r="BL293" s="21"/>
      <c r="BM293" s="21"/>
      <c r="BN293" s="21"/>
      <c r="BO293" s="21"/>
      <c r="BP293" s="21"/>
      <c r="BQ293" s="21"/>
      <c r="BR293" s="21"/>
      <c r="BS293" s="21"/>
      <c r="BT293" s="21"/>
      <c r="BU293" s="21"/>
      <c r="BV293" s="21"/>
      <c r="BW293" s="21"/>
      <c r="BX293" s="21"/>
      <c r="BY293" s="21"/>
      <c r="BZ293" s="21"/>
      <c r="CA293" s="21"/>
      <c r="CB293" s="21"/>
      <c r="CC293" s="21"/>
      <c r="CD293" s="21"/>
      <c r="CE293" s="21"/>
      <c r="CF293" s="21"/>
      <c r="CG293" s="21"/>
      <c r="CH293" s="21"/>
      <c r="CI293" s="21"/>
      <c r="CJ293" s="21"/>
      <c r="CK293" s="21"/>
      <c r="CL293" s="21"/>
      <c r="CM293" s="21"/>
      <c r="CN293" s="21"/>
      <c r="CO293" s="21"/>
      <c r="CP293" s="21"/>
      <c r="CQ293" s="21"/>
      <c r="CR293" s="21"/>
      <c r="CS293" s="21"/>
      <c r="CT293" s="21"/>
    </row>
    <row r="294" spans="1:98" s="110" customFormat="1" outlineLevel="1" x14ac:dyDescent="0.3">
      <c r="A294" s="110" t="s">
        <v>510</v>
      </c>
      <c r="B294" s="117" t="s">
        <v>511</v>
      </c>
      <c r="C294" s="117" t="str">
        <f t="shared" si="4"/>
        <v>VU Vanuatu CCC: 0,956</v>
      </c>
      <c r="D294" s="118">
        <v>0.95599999999999996</v>
      </c>
      <c r="E294" s="110" t="s">
        <v>195</v>
      </c>
      <c r="F294" s="21"/>
      <c r="G294"/>
      <c r="H294" s="250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  <c r="BL294" s="21"/>
      <c r="BM294" s="21"/>
      <c r="BN294" s="21"/>
      <c r="BO294" s="21"/>
      <c r="BP294" s="21"/>
      <c r="BQ294" s="21"/>
      <c r="BR294" s="21"/>
      <c r="BS294" s="21"/>
      <c r="BT294" s="21"/>
      <c r="BU294" s="21"/>
      <c r="BV294" s="21"/>
      <c r="BW294" s="21"/>
      <c r="BX294" s="21"/>
      <c r="BY294" s="21"/>
      <c r="BZ294" s="21"/>
      <c r="CA294" s="21"/>
      <c r="CB294" s="21"/>
      <c r="CC294" s="21"/>
      <c r="CD294" s="21"/>
      <c r="CE294" s="21"/>
      <c r="CF294" s="21"/>
      <c r="CG294" s="21"/>
      <c r="CH294" s="21"/>
      <c r="CI294" s="21"/>
      <c r="CJ294" s="21"/>
      <c r="CK294" s="21"/>
      <c r="CL294" s="21"/>
      <c r="CM294" s="21"/>
      <c r="CN294" s="21"/>
      <c r="CO294" s="21"/>
      <c r="CP294" s="21"/>
      <c r="CQ294" s="21"/>
      <c r="CR294" s="21"/>
      <c r="CS294" s="21"/>
      <c r="CT294" s="21"/>
    </row>
    <row r="295" spans="1:98" s="110" customFormat="1" outlineLevel="1" x14ac:dyDescent="0.3">
      <c r="A295" s="110" t="s">
        <v>512</v>
      </c>
      <c r="B295" s="117" t="s">
        <v>513</v>
      </c>
      <c r="C295" s="117" t="str">
        <f t="shared" ref="C295:C301" si="5">A295&amp;" "&amp;B295&amp;" "&amp;"CCC: "&amp;D295</f>
        <v>VE Venezuela (Bolivarian Republic of) CCC: 1,27</v>
      </c>
      <c r="D295" s="118">
        <v>1.27</v>
      </c>
      <c r="E295" s="110" t="s">
        <v>195</v>
      </c>
      <c r="F295" s="21"/>
      <c r="G295"/>
      <c r="H295" s="250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  <c r="BL295" s="21"/>
      <c r="BM295" s="21"/>
      <c r="BN295" s="21"/>
      <c r="BO295" s="21"/>
      <c r="BP295" s="21"/>
      <c r="BQ295" s="21"/>
      <c r="BR295" s="21"/>
      <c r="BS295" s="21"/>
      <c r="BT295" s="21"/>
      <c r="BU295" s="21"/>
      <c r="BV295" s="21"/>
      <c r="BW295" s="21"/>
      <c r="BX295" s="21"/>
      <c r="BY295" s="21"/>
      <c r="BZ295" s="21"/>
      <c r="CA295" s="21"/>
      <c r="CB295" s="21"/>
      <c r="CC295" s="21"/>
      <c r="CD295" s="21"/>
      <c r="CE295" s="21"/>
      <c r="CF295" s="21"/>
      <c r="CG295" s="21"/>
      <c r="CH295" s="21"/>
      <c r="CI295" s="21"/>
      <c r="CJ295" s="21"/>
      <c r="CK295" s="21"/>
      <c r="CL295" s="21"/>
      <c r="CM295" s="21"/>
      <c r="CN295" s="21"/>
      <c r="CO295" s="21"/>
      <c r="CP295" s="21"/>
      <c r="CQ295" s="21"/>
      <c r="CR295" s="21"/>
      <c r="CS295" s="21"/>
      <c r="CT295" s="21"/>
    </row>
    <row r="296" spans="1:98" s="110" customFormat="1" outlineLevel="1" x14ac:dyDescent="0.3">
      <c r="A296" s="110" t="s">
        <v>514</v>
      </c>
      <c r="B296" s="117" t="s">
        <v>515</v>
      </c>
      <c r="C296" s="117" t="str">
        <f t="shared" si="5"/>
        <v>VN Viet Nam CCC: 0,559</v>
      </c>
      <c r="D296" s="118">
        <v>0.55900000000000005</v>
      </c>
      <c r="E296" s="110" t="s">
        <v>195</v>
      </c>
      <c r="F296" s="21"/>
      <c r="G296" s="251"/>
      <c r="H296" s="252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  <c r="BL296" s="21"/>
      <c r="BM296" s="21"/>
      <c r="BN296" s="21"/>
      <c r="BO296" s="21"/>
      <c r="BP296" s="21"/>
      <c r="BQ296" s="21"/>
      <c r="BR296" s="21"/>
      <c r="BS296" s="21"/>
      <c r="BT296" s="21"/>
      <c r="BU296" s="21"/>
      <c r="BV296" s="21"/>
      <c r="BW296" s="21"/>
      <c r="BX296" s="21"/>
      <c r="BY296" s="21"/>
      <c r="BZ296" s="21"/>
      <c r="CA296" s="21"/>
      <c r="CB296" s="21"/>
      <c r="CC296" s="21"/>
      <c r="CD296" s="21"/>
      <c r="CE296" s="21"/>
      <c r="CF296" s="21"/>
      <c r="CG296" s="21"/>
      <c r="CH296" s="21"/>
      <c r="CI296" s="21"/>
      <c r="CJ296" s="21"/>
      <c r="CK296" s="21"/>
      <c r="CL296" s="21"/>
      <c r="CM296" s="21"/>
      <c r="CN296" s="21"/>
      <c r="CO296" s="21"/>
      <c r="CP296" s="21"/>
      <c r="CQ296" s="21"/>
      <c r="CR296" s="21"/>
      <c r="CS296" s="21"/>
      <c r="CT296" s="21"/>
    </row>
    <row r="297" spans="1:98" s="110" customFormat="1" outlineLevel="1" x14ac:dyDescent="0.3">
      <c r="A297" s="110" t="s">
        <v>516</v>
      </c>
      <c r="B297" s="117" t="s">
        <v>517</v>
      </c>
      <c r="C297" s="117" t="str">
        <f t="shared" si="5"/>
        <v>YE Yemen CCC: 0,953</v>
      </c>
      <c r="D297" s="118">
        <v>0.95299999999999996</v>
      </c>
      <c r="E297" s="110" t="s">
        <v>195</v>
      </c>
      <c r="F297" s="21"/>
      <c r="G297" s="251"/>
      <c r="H297" s="252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/>
      <c r="BL297" s="21"/>
      <c r="BM297" s="21"/>
      <c r="BN297" s="21"/>
      <c r="BO297" s="21"/>
      <c r="BP297" s="21"/>
      <c r="BQ297" s="21"/>
      <c r="BR297" s="21"/>
      <c r="BS297" s="21"/>
      <c r="BT297" s="21"/>
      <c r="BU297" s="21"/>
      <c r="BV297" s="21"/>
      <c r="BW297" s="21"/>
      <c r="BX297" s="21"/>
      <c r="BY297" s="21"/>
      <c r="BZ297" s="21"/>
      <c r="CA297" s="21"/>
      <c r="CB297" s="21"/>
      <c r="CC297" s="21"/>
      <c r="CD297" s="21"/>
      <c r="CE297" s="21"/>
      <c r="CF297" s="21"/>
      <c r="CG297" s="21"/>
      <c r="CH297" s="21"/>
      <c r="CI297" s="21"/>
      <c r="CJ297" s="21"/>
      <c r="CK297" s="21"/>
      <c r="CL297" s="21"/>
      <c r="CM297" s="21"/>
      <c r="CN297" s="21"/>
      <c r="CO297" s="21"/>
      <c r="CP297" s="21"/>
      <c r="CQ297" s="21"/>
      <c r="CR297" s="21"/>
      <c r="CS297" s="21"/>
      <c r="CT297" s="21"/>
    </row>
    <row r="298" spans="1:98" s="110" customFormat="1" outlineLevel="1" x14ac:dyDescent="0.3">
      <c r="A298" s="110" t="s">
        <v>518</v>
      </c>
      <c r="B298" s="117" t="s">
        <v>519</v>
      </c>
      <c r="C298" s="117" t="str">
        <f t="shared" si="5"/>
        <v>ZM Zambia CCC: 0,682</v>
      </c>
      <c r="D298" s="118">
        <v>0.68200000000000005</v>
      </c>
      <c r="E298" s="110" t="s">
        <v>195</v>
      </c>
      <c r="F298" s="21"/>
      <c r="G298" s="251"/>
      <c r="H298" s="252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/>
      <c r="BL298" s="21"/>
      <c r="BM298" s="21"/>
      <c r="BN298" s="21"/>
      <c r="BO298" s="21"/>
      <c r="BP298" s="21"/>
      <c r="BQ298" s="21"/>
      <c r="BR298" s="21"/>
      <c r="BS298" s="21"/>
      <c r="BT298" s="21"/>
      <c r="BU298" s="21"/>
      <c r="BV298" s="21"/>
      <c r="BW298" s="21"/>
      <c r="BX298" s="21"/>
      <c r="BY298" s="21"/>
      <c r="BZ298" s="21"/>
      <c r="CA298" s="21"/>
      <c r="CB298" s="21"/>
      <c r="CC298" s="21"/>
      <c r="CD298" s="21"/>
      <c r="CE298" s="21"/>
      <c r="CF298" s="21"/>
      <c r="CG298" s="21"/>
      <c r="CH298" s="21"/>
      <c r="CI298" s="21"/>
      <c r="CJ298" s="21"/>
      <c r="CK298" s="21"/>
      <c r="CL298" s="21"/>
      <c r="CM298" s="21"/>
      <c r="CN298" s="21"/>
      <c r="CO298" s="21"/>
      <c r="CP298" s="21"/>
      <c r="CQ298" s="21"/>
      <c r="CR298" s="21"/>
      <c r="CS298" s="21"/>
      <c r="CT298" s="21"/>
    </row>
    <row r="299" spans="1:98" s="110" customFormat="1" outlineLevel="1" x14ac:dyDescent="0.3">
      <c r="A299" s="110" t="s">
        <v>520</v>
      </c>
      <c r="B299" s="117" t="s">
        <v>521</v>
      </c>
      <c r="C299" s="117" t="str">
        <f t="shared" si="5"/>
        <v>ZW Zimbabwe CCC: 0,897</v>
      </c>
      <c r="D299" s="118">
        <v>0.89700000000000002</v>
      </c>
      <c r="E299" s="110" t="s">
        <v>195</v>
      </c>
      <c r="F299" s="21"/>
      <c r="G299"/>
      <c r="H299" s="250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/>
      <c r="BL299" s="21"/>
      <c r="BM299" s="21"/>
      <c r="BN299" s="21"/>
      <c r="BO299" s="21"/>
      <c r="BP299" s="21"/>
      <c r="BQ299" s="21"/>
      <c r="BR299" s="21"/>
      <c r="BS299" s="21"/>
      <c r="BT299" s="21"/>
      <c r="BU299" s="21"/>
      <c r="BV299" s="21"/>
      <c r="BW299" s="21"/>
      <c r="BX299" s="21"/>
      <c r="BY299" s="21"/>
      <c r="BZ299" s="21"/>
      <c r="CA299" s="21"/>
      <c r="CB299" s="21"/>
      <c r="CC299" s="21"/>
      <c r="CD299" s="21"/>
      <c r="CE299" s="21"/>
      <c r="CF299" s="21"/>
      <c r="CG299" s="21"/>
      <c r="CH299" s="21"/>
      <c r="CI299" s="21"/>
      <c r="CJ299" s="21"/>
      <c r="CK299" s="21"/>
      <c r="CL299" s="21"/>
      <c r="CM299" s="21"/>
      <c r="CN299" s="21"/>
      <c r="CO299" s="21"/>
      <c r="CP299" s="21"/>
      <c r="CQ299" s="21"/>
      <c r="CR299" s="21"/>
      <c r="CS299" s="21"/>
      <c r="CT299" s="21"/>
    </row>
    <row r="300" spans="1:98" s="110" customFormat="1" outlineLevel="1" x14ac:dyDescent="0.3">
      <c r="A300" s="110" t="s">
        <v>522</v>
      </c>
      <c r="C300" s="117" t="str">
        <f t="shared" si="5"/>
        <v>EL  CCC: 0,745</v>
      </c>
      <c r="D300" s="118">
        <v>0.745</v>
      </c>
      <c r="E300" s="110" t="s">
        <v>206</v>
      </c>
      <c r="F300" s="21"/>
      <c r="G300"/>
      <c r="H300" s="250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  <c r="BL300" s="21"/>
      <c r="BM300" s="21"/>
      <c r="BN300" s="21"/>
      <c r="BO300" s="21"/>
      <c r="BP300" s="21"/>
      <c r="BQ300" s="21"/>
      <c r="BR300" s="21"/>
      <c r="BS300" s="21"/>
      <c r="BT300" s="21"/>
      <c r="BU300" s="21"/>
      <c r="BV300" s="21"/>
      <c r="BW300" s="21"/>
      <c r="BX300" s="21"/>
      <c r="BY300" s="21"/>
      <c r="BZ300" s="21"/>
      <c r="CA300" s="21"/>
      <c r="CB300" s="21"/>
      <c r="CC300" s="21"/>
      <c r="CD300" s="21"/>
      <c r="CE300" s="21"/>
      <c r="CF300" s="21"/>
      <c r="CG300" s="21"/>
      <c r="CH300" s="21"/>
      <c r="CI300" s="21"/>
      <c r="CJ300" s="21"/>
      <c r="CK300" s="21"/>
      <c r="CL300" s="21"/>
      <c r="CM300" s="21"/>
      <c r="CN300" s="21"/>
      <c r="CO300" s="21"/>
      <c r="CP300" s="21"/>
      <c r="CQ300" s="21"/>
      <c r="CR300" s="21"/>
      <c r="CS300" s="21"/>
      <c r="CT300" s="21"/>
    </row>
    <row r="301" spans="1:98" s="110" customFormat="1" outlineLevel="1" x14ac:dyDescent="0.3">
      <c r="A301" s="110" t="s">
        <v>523</v>
      </c>
      <c r="C301" s="117" t="str">
        <f t="shared" si="5"/>
        <v>XK  CCC: 0,641</v>
      </c>
      <c r="D301" s="118">
        <v>0.64100000000000001</v>
      </c>
      <c r="E301" s="110" t="s">
        <v>195</v>
      </c>
      <c r="F301" s="21"/>
      <c r="G301"/>
      <c r="H301" s="250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  <c r="BN301" s="21"/>
      <c r="BO301" s="21"/>
      <c r="BP301" s="21"/>
      <c r="BQ301" s="21"/>
      <c r="BR301" s="21"/>
      <c r="BS301" s="21"/>
      <c r="BT301" s="21"/>
      <c r="BU301" s="21"/>
      <c r="BV301" s="21"/>
      <c r="BW301" s="21"/>
      <c r="BX301" s="21"/>
      <c r="BY301" s="21"/>
      <c r="BZ301" s="21"/>
      <c r="CA301" s="21"/>
      <c r="CB301" s="21"/>
      <c r="CC301" s="21"/>
      <c r="CD301" s="21"/>
      <c r="CE301" s="21"/>
      <c r="CF301" s="21"/>
      <c r="CG301" s="21"/>
      <c r="CH301" s="21"/>
      <c r="CI301" s="21"/>
      <c r="CJ301" s="21"/>
      <c r="CK301" s="21"/>
      <c r="CL301" s="21"/>
      <c r="CM301" s="21"/>
      <c r="CN301" s="21"/>
      <c r="CO301" s="21"/>
      <c r="CP301" s="21"/>
      <c r="CQ301" s="21"/>
      <c r="CR301" s="21"/>
      <c r="CS301" s="21"/>
      <c r="CT301" s="21"/>
    </row>
    <row r="302" spans="1:98" s="110" customFormat="1" outlineLevel="1" x14ac:dyDescent="0.3">
      <c r="A302" s="20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  <c r="BL302" s="21"/>
      <c r="BM302" s="21"/>
      <c r="BN302" s="21"/>
      <c r="BO302" s="21"/>
      <c r="BP302" s="21"/>
      <c r="BQ302" s="21"/>
      <c r="BR302" s="21"/>
      <c r="BS302" s="21"/>
      <c r="BT302" s="21"/>
      <c r="BU302" s="21"/>
      <c r="BV302" s="21"/>
      <c r="BW302" s="21"/>
      <c r="BX302" s="21"/>
      <c r="BY302" s="21"/>
      <c r="BZ302" s="21"/>
      <c r="CA302" s="21"/>
      <c r="CB302" s="21"/>
      <c r="CC302" s="21"/>
      <c r="CD302" s="21"/>
      <c r="CE302" s="21"/>
      <c r="CF302" s="21"/>
      <c r="CG302" s="21"/>
      <c r="CH302" s="21"/>
      <c r="CI302" s="21"/>
      <c r="CJ302" s="21"/>
      <c r="CK302" s="21"/>
      <c r="CL302" s="21"/>
      <c r="CM302" s="21"/>
      <c r="CN302" s="21"/>
      <c r="CO302" s="21"/>
      <c r="CP302" s="21"/>
      <c r="CQ302" s="21"/>
      <c r="CR302" s="21"/>
      <c r="CS302" s="21"/>
      <c r="CT302" s="21"/>
    </row>
    <row r="303" spans="1:98" s="110" customFormat="1" outlineLevel="1" x14ac:dyDescent="0.3">
      <c r="A303" s="20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  <c r="BL303" s="21"/>
      <c r="BM303" s="21"/>
      <c r="BN303" s="21"/>
      <c r="BO303" s="21"/>
      <c r="BP303" s="21"/>
      <c r="BQ303" s="21"/>
      <c r="BR303" s="21"/>
      <c r="BS303" s="21"/>
      <c r="BT303" s="21"/>
      <c r="BU303" s="21"/>
      <c r="BV303" s="21"/>
      <c r="BW303" s="21"/>
      <c r="BX303" s="21"/>
      <c r="BY303" s="21"/>
      <c r="BZ303" s="21"/>
      <c r="CA303" s="21"/>
      <c r="CB303" s="21"/>
      <c r="CC303" s="21"/>
      <c r="CD303" s="21"/>
      <c r="CE303" s="21"/>
      <c r="CF303" s="21"/>
      <c r="CG303" s="21"/>
      <c r="CH303" s="21"/>
      <c r="CI303" s="21"/>
      <c r="CJ303" s="21"/>
      <c r="CK303" s="21"/>
      <c r="CL303" s="21"/>
      <c r="CM303" s="21"/>
      <c r="CN303" s="21"/>
      <c r="CO303" s="21"/>
      <c r="CP303" s="21"/>
      <c r="CQ303" s="21"/>
      <c r="CR303" s="21"/>
      <c r="CS303" s="21"/>
      <c r="CT303" s="21"/>
    </row>
    <row r="304" spans="1:98" s="110" customFormat="1" outlineLevel="1" x14ac:dyDescent="0.3">
      <c r="A304" s="20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  <c r="BN304" s="21"/>
      <c r="BO304" s="21"/>
      <c r="BP304" s="21"/>
      <c r="BQ304" s="21"/>
      <c r="BR304" s="21"/>
      <c r="BS304" s="21"/>
      <c r="BT304" s="21"/>
      <c r="BU304" s="21"/>
      <c r="BV304" s="21"/>
      <c r="BW304" s="21"/>
      <c r="BX304" s="21"/>
      <c r="BY304" s="21"/>
      <c r="BZ304" s="21"/>
      <c r="CA304" s="21"/>
      <c r="CB304" s="21"/>
      <c r="CC304" s="21"/>
      <c r="CD304" s="21"/>
      <c r="CE304" s="21"/>
      <c r="CF304" s="21"/>
      <c r="CG304" s="21"/>
      <c r="CH304" s="21"/>
      <c r="CI304" s="21"/>
      <c r="CJ304" s="21"/>
      <c r="CK304" s="21"/>
      <c r="CL304" s="21"/>
      <c r="CM304" s="21"/>
      <c r="CN304" s="21"/>
      <c r="CO304" s="21"/>
      <c r="CP304" s="21"/>
      <c r="CQ304" s="21"/>
      <c r="CR304" s="21"/>
      <c r="CS304" s="21"/>
      <c r="CT304" s="21"/>
    </row>
    <row r="305" spans="1:100" s="110" customFormat="1" outlineLevel="1" x14ac:dyDescent="0.3">
      <c r="A305" s="119"/>
      <c r="B305" s="120"/>
      <c r="C305" s="120"/>
      <c r="D305" s="120"/>
      <c r="E305" s="120"/>
      <c r="F305" s="120"/>
      <c r="G305" s="120"/>
      <c r="H305" s="120"/>
      <c r="I305" s="120"/>
      <c r="J305" s="120"/>
      <c r="K305" s="120"/>
      <c r="L305" s="120"/>
      <c r="M305" s="120"/>
      <c r="N305" s="120"/>
      <c r="O305" s="120"/>
      <c r="P305" s="120"/>
      <c r="Q305" s="120"/>
      <c r="R305" s="120"/>
      <c r="S305" s="120"/>
      <c r="T305" s="120"/>
      <c r="U305" s="120"/>
      <c r="V305" s="120"/>
      <c r="W305" s="120"/>
      <c r="X305" s="120"/>
      <c r="Y305" s="120"/>
      <c r="Z305" s="120"/>
      <c r="AA305" s="120"/>
      <c r="AB305" s="120"/>
      <c r="AC305" s="120"/>
      <c r="AD305" s="120"/>
      <c r="AE305" s="120"/>
      <c r="AF305" s="120"/>
      <c r="AG305" s="120"/>
      <c r="AH305" s="120"/>
      <c r="AI305" s="120"/>
      <c r="AJ305" s="120"/>
      <c r="AK305" s="120"/>
      <c r="AL305" s="120"/>
      <c r="AM305" s="120"/>
      <c r="AN305" s="120"/>
      <c r="AO305" s="120"/>
      <c r="AP305" s="120"/>
      <c r="AQ305" s="120"/>
      <c r="AR305" s="120"/>
      <c r="AS305" s="120"/>
      <c r="AT305" s="120"/>
      <c r="AU305" s="120"/>
      <c r="AV305" s="120"/>
      <c r="AW305" s="120"/>
      <c r="AX305" s="120"/>
      <c r="AY305" s="120"/>
      <c r="AZ305" s="120"/>
      <c r="BA305" s="120"/>
      <c r="BB305" s="120"/>
      <c r="BC305" s="120"/>
      <c r="BD305" s="120"/>
      <c r="BE305" s="120"/>
      <c r="BF305" s="120"/>
      <c r="BG305" s="120"/>
      <c r="BH305" s="120"/>
      <c r="BI305" s="120"/>
      <c r="BJ305" s="120"/>
      <c r="BK305" s="120"/>
      <c r="BL305" s="120"/>
      <c r="BM305" s="120"/>
      <c r="BN305" s="120"/>
      <c r="BO305" s="120"/>
      <c r="BP305" s="120"/>
      <c r="BQ305" s="120"/>
      <c r="BR305" s="120"/>
      <c r="BS305" s="120"/>
      <c r="BT305" s="120"/>
      <c r="BU305" s="120"/>
      <c r="BV305" s="120"/>
      <c r="BW305" s="120"/>
      <c r="BX305" s="120"/>
      <c r="BY305" s="120"/>
      <c r="BZ305" s="120"/>
      <c r="CA305" s="120"/>
      <c r="CB305" s="120"/>
      <c r="CC305" s="120"/>
      <c r="CD305" s="120"/>
      <c r="CE305" s="120"/>
      <c r="CF305" s="120"/>
      <c r="CG305" s="120"/>
      <c r="CH305" s="120"/>
      <c r="CI305" s="120"/>
      <c r="CJ305" s="120"/>
      <c r="CK305" s="120"/>
      <c r="CL305" s="120"/>
      <c r="CM305" s="120"/>
      <c r="CN305" s="120"/>
      <c r="CO305" s="120"/>
      <c r="CP305" s="120"/>
      <c r="CQ305" s="120"/>
      <c r="CR305" s="120"/>
      <c r="CS305" s="120"/>
      <c r="CT305" s="120"/>
      <c r="CU305" s="121"/>
      <c r="CV305" s="121"/>
    </row>
    <row r="306" spans="1:100" s="110" customFormat="1" outlineLevel="1" x14ac:dyDescent="0.3"/>
    <row r="307" spans="1:100" s="110" customFormat="1" ht="18" collapsed="1" x14ac:dyDescent="0.35">
      <c r="A307" s="122" t="s">
        <v>156</v>
      </c>
    </row>
    <row r="308" spans="1:100" s="121" customFormat="1" x14ac:dyDescent="0.3">
      <c r="A308" s="110"/>
      <c r="B308" s="110"/>
      <c r="C308" s="110"/>
      <c r="D308" s="110"/>
      <c r="E308" s="110"/>
      <c r="F308" s="110"/>
      <c r="G308" s="110"/>
      <c r="H308" s="110"/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  <c r="U308" s="110"/>
      <c r="V308" s="110"/>
      <c r="W308" s="110"/>
      <c r="X308" s="110"/>
      <c r="Y308" s="110"/>
      <c r="Z308" s="110"/>
      <c r="AA308" s="110"/>
      <c r="AB308" s="110"/>
      <c r="AC308" s="110"/>
      <c r="AD308" s="110"/>
      <c r="AE308" s="110"/>
      <c r="AF308" s="110"/>
      <c r="AG308" s="110"/>
      <c r="AH308" s="110"/>
      <c r="AI308" s="110"/>
      <c r="AJ308" s="110"/>
      <c r="AK308" s="110"/>
      <c r="AL308" s="110"/>
      <c r="AM308" s="110"/>
      <c r="AN308" s="110"/>
      <c r="AO308" s="110"/>
      <c r="AP308" s="110"/>
      <c r="AQ308" s="110"/>
      <c r="AR308" s="110"/>
      <c r="AS308" s="110"/>
      <c r="AT308" s="110"/>
      <c r="AU308" s="110"/>
      <c r="AV308" s="110"/>
      <c r="AW308" s="110"/>
      <c r="AX308" s="110"/>
      <c r="AY308" s="110"/>
      <c r="AZ308" s="110"/>
      <c r="BA308" s="110"/>
      <c r="BB308" s="110"/>
      <c r="BC308" s="110"/>
      <c r="BD308" s="110"/>
      <c r="BE308" s="110"/>
      <c r="BF308" s="110"/>
      <c r="BG308" s="110"/>
      <c r="BH308" s="110"/>
      <c r="BI308" s="110"/>
      <c r="BJ308" s="110"/>
      <c r="BK308" s="110"/>
      <c r="BL308" s="110"/>
      <c r="BM308" s="110"/>
      <c r="BN308" s="110"/>
      <c r="BO308" s="110"/>
      <c r="BP308" s="110"/>
      <c r="BQ308" s="110"/>
      <c r="BR308" s="110"/>
      <c r="BS308" s="110"/>
      <c r="BT308" s="110"/>
      <c r="BU308" s="110"/>
      <c r="BV308" s="110"/>
      <c r="BW308" s="110"/>
      <c r="BX308" s="110"/>
      <c r="BY308" s="110"/>
      <c r="BZ308" s="110"/>
      <c r="CA308" s="110"/>
      <c r="CB308" s="110"/>
      <c r="CC308" s="110"/>
      <c r="CD308" s="110"/>
      <c r="CE308" s="110"/>
      <c r="CF308" s="110"/>
      <c r="CG308" s="110"/>
      <c r="CH308" s="110"/>
      <c r="CI308" s="110"/>
      <c r="CJ308" s="110"/>
      <c r="CK308" s="110"/>
      <c r="CL308" s="110"/>
      <c r="CM308" s="110"/>
      <c r="CN308" s="110"/>
      <c r="CO308" s="110"/>
      <c r="CP308" s="110"/>
      <c r="CQ308" s="110"/>
      <c r="CR308" s="110"/>
      <c r="CS308" s="110"/>
      <c r="CT308" s="110"/>
      <c r="CU308" s="110"/>
      <c r="CV308" s="110"/>
    </row>
    <row r="309" spans="1:100" s="110" customFormat="1" x14ac:dyDescent="0.3">
      <c r="A309" s="22" t="s">
        <v>657</v>
      </c>
      <c r="C309" s="22" t="s">
        <v>658</v>
      </c>
      <c r="E309" s="22" t="s">
        <v>659</v>
      </c>
      <c r="G309" s="22" t="s">
        <v>660</v>
      </c>
      <c r="I309" s="22" t="s">
        <v>554</v>
      </c>
      <c r="J309" s="22" t="s">
        <v>551</v>
      </c>
    </row>
    <row r="310" spans="1:100" s="110" customFormat="1" x14ac:dyDescent="0.3">
      <c r="A310" s="123" t="s">
        <v>15</v>
      </c>
      <c r="C310" s="123" t="s">
        <v>15</v>
      </c>
      <c r="E310" s="20" t="s">
        <v>40</v>
      </c>
      <c r="G310" s="20" t="s">
        <v>15</v>
      </c>
      <c r="I310" s="20" t="s">
        <v>644</v>
      </c>
      <c r="J310" s="20" t="s">
        <v>572</v>
      </c>
    </row>
    <row r="311" spans="1:100" s="110" customFormat="1" x14ac:dyDescent="0.3">
      <c r="A311" s="124" t="s">
        <v>21</v>
      </c>
      <c r="C311" s="124" t="s">
        <v>21</v>
      </c>
      <c r="E311" s="20" t="s">
        <v>18</v>
      </c>
      <c r="G311" s="20" t="s">
        <v>21</v>
      </c>
      <c r="I311" s="20" t="s">
        <v>645</v>
      </c>
      <c r="J311" s="20" t="s">
        <v>572</v>
      </c>
    </row>
    <row r="312" spans="1:100" s="110" customFormat="1" outlineLevel="1" x14ac:dyDescent="0.3">
      <c r="A312" s="124" t="s">
        <v>38</v>
      </c>
      <c r="C312" s="124" t="s">
        <v>38</v>
      </c>
      <c r="E312" s="20" t="s">
        <v>41</v>
      </c>
      <c r="G312" s="20" t="s">
        <v>38</v>
      </c>
      <c r="I312" s="20" t="s">
        <v>24</v>
      </c>
      <c r="J312" s="20" t="s">
        <v>572</v>
      </c>
    </row>
    <row r="313" spans="1:100" s="110" customFormat="1" outlineLevel="1" x14ac:dyDescent="0.3">
      <c r="A313" s="124" t="s">
        <v>37</v>
      </c>
      <c r="C313" s="124" t="s">
        <v>37</v>
      </c>
      <c r="E313" s="20" t="s">
        <v>42</v>
      </c>
      <c r="G313" s="20" t="s">
        <v>37</v>
      </c>
      <c r="I313" s="20" t="s">
        <v>45</v>
      </c>
      <c r="J313" s="20" t="s">
        <v>572</v>
      </c>
    </row>
    <row r="314" spans="1:100" s="110" customFormat="1" outlineLevel="1" x14ac:dyDescent="0.3">
      <c r="A314" s="124" t="s">
        <v>19</v>
      </c>
      <c r="C314" s="124" t="s">
        <v>19</v>
      </c>
      <c r="E314" s="20" t="s">
        <v>43</v>
      </c>
      <c r="G314" s="20" t="s">
        <v>40</v>
      </c>
      <c r="I314" s="20" t="s">
        <v>25</v>
      </c>
      <c r="J314" s="20" t="s">
        <v>572</v>
      </c>
    </row>
    <row r="315" spans="1:100" s="110" customFormat="1" outlineLevel="1" x14ac:dyDescent="0.3">
      <c r="A315" s="124" t="s">
        <v>23</v>
      </c>
      <c r="C315" s="124" t="s">
        <v>23</v>
      </c>
      <c r="E315" s="20" t="s">
        <v>44</v>
      </c>
      <c r="G315" s="20" t="s">
        <v>18</v>
      </c>
      <c r="I315" s="20" t="s">
        <v>26</v>
      </c>
      <c r="J315" s="20" t="s">
        <v>572</v>
      </c>
    </row>
    <row r="316" spans="1:100" s="110" customFormat="1" outlineLevel="1" x14ac:dyDescent="0.3">
      <c r="A316" s="124" t="s">
        <v>16</v>
      </c>
      <c r="C316" s="124" t="s">
        <v>16</v>
      </c>
      <c r="E316" s="20" t="s">
        <v>28</v>
      </c>
      <c r="G316" s="20" t="s">
        <v>19</v>
      </c>
      <c r="I316" s="20" t="s">
        <v>646</v>
      </c>
      <c r="J316" s="20" t="s">
        <v>572</v>
      </c>
    </row>
    <row r="317" spans="1:100" s="110" customFormat="1" outlineLevel="1" x14ac:dyDescent="0.3">
      <c r="A317" s="124" t="s">
        <v>22</v>
      </c>
      <c r="C317" s="124" t="s">
        <v>22</v>
      </c>
      <c r="E317" s="20" t="s">
        <v>29</v>
      </c>
      <c r="G317" s="20" t="s">
        <v>23</v>
      </c>
      <c r="I317" s="20" t="s">
        <v>647</v>
      </c>
      <c r="J317" s="20" t="s">
        <v>572</v>
      </c>
    </row>
    <row r="318" spans="1:100" s="110" customFormat="1" outlineLevel="1" x14ac:dyDescent="0.3">
      <c r="A318" s="124" t="s">
        <v>20</v>
      </c>
      <c r="C318" s="124" t="s">
        <v>20</v>
      </c>
      <c r="E318" s="20" t="s">
        <v>17</v>
      </c>
      <c r="G318" s="20" t="s">
        <v>16</v>
      </c>
      <c r="I318" s="20" t="s">
        <v>46</v>
      </c>
      <c r="J318" s="20" t="s">
        <v>572</v>
      </c>
    </row>
    <row r="319" spans="1:100" s="110" customFormat="1" outlineLevel="1" x14ac:dyDescent="0.3">
      <c r="A319" s="124"/>
      <c r="C319" s="124" t="s">
        <v>668</v>
      </c>
      <c r="G319" s="20" t="s">
        <v>22</v>
      </c>
      <c r="I319" s="20" t="s">
        <v>648</v>
      </c>
      <c r="J319" s="20" t="s">
        <v>572</v>
      </c>
    </row>
    <row r="320" spans="1:100" s="110" customFormat="1" outlineLevel="1" x14ac:dyDescent="0.3">
      <c r="G320" s="20" t="s">
        <v>20</v>
      </c>
      <c r="I320" s="20" t="s">
        <v>649</v>
      </c>
      <c r="J320" s="20" t="s">
        <v>572</v>
      </c>
    </row>
    <row r="321" spans="7:10" s="110" customFormat="1" outlineLevel="1" x14ac:dyDescent="0.3">
      <c r="G321" s="258" t="s">
        <v>668</v>
      </c>
      <c r="I321" s="20" t="s">
        <v>27</v>
      </c>
      <c r="J321" s="20" t="s">
        <v>572</v>
      </c>
    </row>
    <row r="322" spans="7:10" s="110" customFormat="1" outlineLevel="1" x14ac:dyDescent="0.3">
      <c r="G322" s="258" t="s">
        <v>41</v>
      </c>
      <c r="I322" s="20" t="s">
        <v>42</v>
      </c>
      <c r="J322" s="20" t="s">
        <v>572</v>
      </c>
    </row>
    <row r="323" spans="7:10" s="110" customFormat="1" outlineLevel="1" x14ac:dyDescent="0.3">
      <c r="G323" s="258" t="s">
        <v>42</v>
      </c>
      <c r="I323" s="20" t="s">
        <v>43</v>
      </c>
      <c r="J323" s="20" t="s">
        <v>572</v>
      </c>
    </row>
    <row r="324" spans="7:10" s="110" customFormat="1" outlineLevel="1" x14ac:dyDescent="0.3">
      <c r="G324" s="258" t="s">
        <v>43</v>
      </c>
      <c r="I324" s="20" t="s">
        <v>41</v>
      </c>
      <c r="J324" s="20" t="s">
        <v>572</v>
      </c>
    </row>
    <row r="325" spans="7:10" s="110" customFormat="1" outlineLevel="1" x14ac:dyDescent="0.3">
      <c r="G325" s="258" t="s">
        <v>44</v>
      </c>
      <c r="I325" s="20" t="s">
        <v>18</v>
      </c>
      <c r="J325" s="20" t="s">
        <v>572</v>
      </c>
    </row>
    <row r="326" spans="7:10" s="110" customFormat="1" outlineLevel="1" x14ac:dyDescent="0.3">
      <c r="G326" s="258" t="s">
        <v>28</v>
      </c>
      <c r="I326" s="20" t="s">
        <v>650</v>
      </c>
      <c r="J326" s="20" t="s">
        <v>572</v>
      </c>
    </row>
    <row r="327" spans="7:10" s="110" customFormat="1" outlineLevel="1" x14ac:dyDescent="0.3">
      <c r="G327" s="258" t="s">
        <v>29</v>
      </c>
      <c r="I327" s="20" t="s">
        <v>651</v>
      </c>
      <c r="J327" s="20" t="s">
        <v>572</v>
      </c>
    </row>
    <row r="328" spans="7:10" s="110" customFormat="1" outlineLevel="1" x14ac:dyDescent="0.3">
      <c r="G328" s="20" t="s">
        <v>17</v>
      </c>
      <c r="I328" s="20"/>
      <c r="J328" s="20"/>
    </row>
    <row r="329" spans="7:10" s="110" customFormat="1" outlineLevel="1" x14ac:dyDescent="0.3"/>
    <row r="330" spans="7:10" s="110" customFormat="1" outlineLevel="1" x14ac:dyDescent="0.3"/>
    <row r="331" spans="7:10" s="110" customFormat="1" outlineLevel="1" x14ac:dyDescent="0.3"/>
    <row r="332" spans="7:10" s="110" customFormat="1" outlineLevel="1" x14ac:dyDescent="0.3"/>
    <row r="333" spans="7:10" s="110" customFormat="1" outlineLevel="1" x14ac:dyDescent="0.3"/>
    <row r="334" spans="7:10" s="110" customFormat="1" outlineLevel="1" x14ac:dyDescent="0.3"/>
    <row r="335" spans="7:10" s="110" customFormat="1" outlineLevel="1" x14ac:dyDescent="0.3"/>
    <row r="336" spans="7:10" s="110" customFormat="1" outlineLevel="1" x14ac:dyDescent="0.3"/>
    <row r="337" spans="1:105" s="110" customFormat="1" outlineLevel="1" x14ac:dyDescent="0.3"/>
    <row r="338" spans="1:105" s="110" customFormat="1" ht="14.25" customHeight="1" outlineLevel="1" x14ac:dyDescent="0.3"/>
    <row r="339" spans="1:105" s="110" customFormat="1" outlineLevel="1" x14ac:dyDescent="0.3"/>
    <row r="340" spans="1:105" s="110" customFormat="1" outlineLevel="1" x14ac:dyDescent="0.3"/>
    <row r="341" spans="1:105" s="110" customFormat="1" outlineLevel="1" x14ac:dyDescent="0.3"/>
    <row r="342" spans="1:105" s="110" customFormat="1" outlineLevel="1" x14ac:dyDescent="0.3"/>
    <row r="343" spans="1:105" s="110" customFormat="1" ht="18" outlineLevel="1" x14ac:dyDescent="0.3">
      <c r="A343" s="58"/>
      <c r="B343" s="20"/>
      <c r="C343" s="20"/>
      <c r="D343" s="20"/>
      <c r="E343" s="20"/>
      <c r="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1"/>
      <c r="CU343" s="21"/>
      <c r="CV343" s="21"/>
    </row>
    <row r="344" spans="1:105" s="110" customFormat="1" ht="18" x14ac:dyDescent="0.3">
      <c r="A344" s="58"/>
      <c r="B344" s="20"/>
      <c r="C344" s="20"/>
      <c r="D344" s="20"/>
      <c r="E344" s="20"/>
      <c r="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1"/>
      <c r="CU344" s="21"/>
      <c r="CV344" s="21"/>
    </row>
    <row r="345" spans="1:105" s="110" customFormat="1" x14ac:dyDescent="0.3"/>
    <row r="346" spans="1:105" ht="11.25" customHeight="1" x14ac:dyDescent="0.3">
      <c r="A346" s="110"/>
      <c r="B346" s="110"/>
      <c r="C346" s="110"/>
      <c r="D346" s="110"/>
      <c r="E346" s="110"/>
      <c r="F346" s="110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0"/>
      <c r="R346" s="110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0"/>
      <c r="AD346" s="110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0"/>
      <c r="AP346" s="110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0"/>
      <c r="BB346" s="110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0"/>
      <c r="BN346" s="110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0"/>
      <c r="BZ346" s="110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10"/>
      <c r="CM346" s="110"/>
      <c r="CN346" s="110"/>
      <c r="CO346" s="110"/>
      <c r="CP346" s="110"/>
      <c r="CQ346" s="110"/>
      <c r="CR346" s="110"/>
      <c r="CS346" s="110"/>
      <c r="CT346" s="110"/>
      <c r="CU346" s="110"/>
      <c r="CV346" s="110"/>
      <c r="CW346" s="21"/>
      <c r="CX346" s="21"/>
      <c r="CY346" s="21"/>
      <c r="CZ346" s="21"/>
      <c r="DA346" s="21"/>
    </row>
    <row r="347" spans="1:105" ht="11.25" customHeight="1" x14ac:dyDescent="0.3">
      <c r="A347" s="110"/>
      <c r="B347" s="110"/>
      <c r="C347" s="110"/>
      <c r="D347" s="110"/>
      <c r="E347" s="110"/>
      <c r="F347" s="110"/>
      <c r="H347" s="110"/>
      <c r="I347" s="110"/>
      <c r="J347" s="110"/>
      <c r="K347" s="110"/>
      <c r="L347" s="110"/>
      <c r="M347" s="110"/>
      <c r="N347" s="110"/>
      <c r="O347" s="110"/>
      <c r="P347" s="110"/>
      <c r="Q347" s="110"/>
      <c r="R347" s="110"/>
      <c r="S347" s="110"/>
      <c r="T347" s="110"/>
      <c r="U347" s="110"/>
      <c r="V347" s="110"/>
      <c r="W347" s="110"/>
      <c r="X347" s="110"/>
      <c r="Y347" s="110"/>
      <c r="Z347" s="110"/>
      <c r="AA347" s="110"/>
      <c r="AB347" s="110"/>
      <c r="AC347" s="110"/>
      <c r="AD347" s="110"/>
      <c r="AE347" s="110"/>
      <c r="AF347" s="110"/>
      <c r="AG347" s="110"/>
      <c r="AH347" s="110"/>
      <c r="AI347" s="110"/>
      <c r="AJ347" s="110"/>
      <c r="AK347" s="110"/>
      <c r="AL347" s="110"/>
      <c r="AM347" s="110"/>
      <c r="AN347" s="110"/>
      <c r="AO347" s="110"/>
      <c r="AP347" s="110"/>
      <c r="AQ347" s="110"/>
      <c r="AR347" s="110"/>
      <c r="AS347" s="110"/>
      <c r="AT347" s="110"/>
      <c r="AU347" s="110"/>
      <c r="AV347" s="110"/>
      <c r="AW347" s="110"/>
      <c r="AX347" s="110"/>
      <c r="AY347" s="110"/>
      <c r="AZ347" s="110"/>
      <c r="BA347" s="110"/>
      <c r="BB347" s="110"/>
      <c r="BC347" s="110"/>
      <c r="BD347" s="110"/>
      <c r="BE347" s="110"/>
      <c r="BF347" s="110"/>
      <c r="BG347" s="110"/>
      <c r="BH347" s="110"/>
      <c r="BI347" s="110"/>
      <c r="BJ347" s="110"/>
      <c r="BK347" s="110"/>
      <c r="BL347" s="110"/>
      <c r="BM347" s="110"/>
      <c r="BN347" s="110"/>
      <c r="BO347" s="110"/>
      <c r="BP347" s="110"/>
      <c r="BQ347" s="110"/>
      <c r="BR347" s="110"/>
      <c r="BS347" s="110"/>
      <c r="BT347" s="110"/>
      <c r="BU347" s="110"/>
      <c r="BV347" s="110"/>
      <c r="BW347" s="110"/>
      <c r="BX347" s="110"/>
      <c r="BY347" s="110"/>
      <c r="BZ347" s="110"/>
      <c r="CA347" s="110"/>
      <c r="CB347" s="110"/>
      <c r="CC347" s="110"/>
      <c r="CD347" s="110"/>
      <c r="CE347" s="110"/>
      <c r="CF347" s="110"/>
      <c r="CG347" s="110"/>
      <c r="CH347" s="110"/>
      <c r="CI347" s="110"/>
      <c r="CJ347" s="110"/>
      <c r="CK347" s="110"/>
      <c r="CL347" s="110"/>
      <c r="CM347" s="110"/>
      <c r="CN347" s="110"/>
      <c r="CO347" s="110"/>
      <c r="CP347" s="110"/>
      <c r="CQ347" s="110"/>
      <c r="CR347" s="110"/>
      <c r="CS347" s="110"/>
      <c r="CT347" s="110"/>
      <c r="CU347" s="110"/>
      <c r="CV347" s="110"/>
      <c r="CW347" s="21"/>
      <c r="CX347" s="21"/>
      <c r="CY347" s="21"/>
      <c r="CZ347" s="21"/>
      <c r="DA347" s="21"/>
    </row>
    <row r="348" spans="1:105" s="110" customFormat="1" ht="11.25" customHeight="1" x14ac:dyDescent="0.3">
      <c r="G348" s="20"/>
    </row>
    <row r="349" spans="1:105" s="110" customFormat="1" ht="11.25" customHeight="1" x14ac:dyDescent="0.3"/>
    <row r="350" spans="1:105" s="110" customFormat="1" ht="11.25" customHeight="1" x14ac:dyDescent="0.3"/>
    <row r="351" spans="1:105" s="110" customFormat="1" ht="11.25" customHeight="1" x14ac:dyDescent="0.3"/>
    <row r="352" spans="1:105" s="110" customFormat="1" ht="13.5" customHeight="1" x14ac:dyDescent="0.3"/>
    <row r="353" s="110" customFormat="1" ht="13.5" customHeight="1" x14ac:dyDescent="0.3"/>
    <row r="354" s="110" customFormat="1" ht="13.5" customHeight="1" x14ac:dyDescent="0.3"/>
    <row r="355" s="110" customFormat="1" ht="13.5" customHeight="1" x14ac:dyDescent="0.3"/>
    <row r="356" s="110" customFormat="1" ht="13.5" customHeight="1" x14ac:dyDescent="0.3"/>
    <row r="357" s="110" customFormat="1" ht="13.5" customHeight="1" x14ac:dyDescent="0.3"/>
    <row r="358" s="110" customFormat="1" ht="13.5" customHeight="1" x14ac:dyDescent="0.3"/>
    <row r="359" s="110" customFormat="1" ht="13.5" customHeight="1" x14ac:dyDescent="0.3"/>
    <row r="360" s="110" customFormat="1" ht="13.5" customHeight="1" x14ac:dyDescent="0.3"/>
    <row r="361" s="110" customFormat="1" ht="13.5" customHeight="1" x14ac:dyDescent="0.3"/>
    <row r="362" s="110" customFormat="1" ht="13.5" customHeight="1" x14ac:dyDescent="0.3"/>
    <row r="363" s="110" customFormat="1" ht="13.5" customHeight="1" x14ac:dyDescent="0.3"/>
    <row r="364" s="110" customFormat="1" x14ac:dyDescent="0.3"/>
    <row r="365" s="110" customFormat="1" x14ac:dyDescent="0.3"/>
    <row r="366" s="110" customFormat="1" x14ac:dyDescent="0.3"/>
    <row r="367" s="110" customFormat="1" x14ac:dyDescent="0.3"/>
    <row r="368" s="110" customFormat="1" x14ac:dyDescent="0.3"/>
    <row r="369" s="110" customFormat="1" x14ac:dyDescent="0.3"/>
    <row r="370" s="110" customFormat="1" x14ac:dyDescent="0.3"/>
    <row r="371" s="110" customFormat="1" x14ac:dyDescent="0.3"/>
    <row r="372" s="110" customFormat="1" x14ac:dyDescent="0.3"/>
    <row r="373" s="110" customFormat="1" x14ac:dyDescent="0.3"/>
    <row r="374" s="110" customFormat="1" x14ac:dyDescent="0.3"/>
    <row r="375" s="110" customFormat="1" x14ac:dyDescent="0.3"/>
    <row r="376" s="110" customFormat="1" x14ac:dyDescent="0.3"/>
    <row r="377" s="110" customFormat="1" x14ac:dyDescent="0.3"/>
    <row r="378" s="110" customFormat="1" x14ac:dyDescent="0.3"/>
    <row r="379" s="110" customFormat="1" x14ac:dyDescent="0.3"/>
    <row r="380" s="110" customFormat="1" x14ac:dyDescent="0.3"/>
    <row r="381" s="110" customFormat="1" x14ac:dyDescent="0.3"/>
    <row r="382" s="110" customFormat="1" x14ac:dyDescent="0.3"/>
    <row r="383" s="110" customFormat="1" x14ac:dyDescent="0.3"/>
    <row r="384" s="110" customFormat="1" x14ac:dyDescent="0.3"/>
    <row r="385" spans="1:100" s="110" customFormat="1" x14ac:dyDescent="0.3"/>
    <row r="386" spans="1:100" s="110" customFormat="1" x14ac:dyDescent="0.3"/>
    <row r="387" spans="1:100" s="110" customFormat="1" x14ac:dyDescent="0.3">
      <c r="A387" s="20"/>
      <c r="B387" s="20"/>
      <c r="C387" s="20"/>
      <c r="D387" s="20"/>
      <c r="E387" s="20"/>
      <c r="F387" s="20"/>
      <c r="I387" s="20"/>
      <c r="J387" s="20"/>
      <c r="K387" s="20"/>
      <c r="L387" s="20"/>
      <c r="M387" s="20"/>
      <c r="N387" s="78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20"/>
      <c r="CO387" s="20"/>
      <c r="CP387" s="20"/>
      <c r="CQ387" s="20"/>
      <c r="CR387" s="20"/>
      <c r="CS387" s="20"/>
      <c r="CT387" s="20"/>
      <c r="CU387" s="20"/>
      <c r="CV387" s="20"/>
    </row>
    <row r="388" spans="1:100" s="110" customFormat="1" x14ac:dyDescent="0.3">
      <c r="A388" s="20"/>
      <c r="B388" s="20"/>
      <c r="C388" s="20"/>
      <c r="D388" s="20"/>
      <c r="E388" s="20"/>
      <c r="F388" s="20"/>
      <c r="I388" s="20"/>
      <c r="J388" s="20"/>
      <c r="K388" s="20"/>
      <c r="L388" s="20"/>
      <c r="M388" s="20"/>
      <c r="N388" s="78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  <c r="CK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  <c r="CV388" s="20"/>
    </row>
    <row r="389" spans="1:100" s="110" customFormat="1" x14ac:dyDescent="0.3">
      <c r="A389" s="20"/>
      <c r="B389" s="20"/>
      <c r="C389" s="20"/>
      <c r="D389" s="20"/>
      <c r="E389" s="20"/>
      <c r="F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  <c r="CV389" s="20"/>
    </row>
    <row r="390" spans="1:100" x14ac:dyDescent="0.3">
      <c r="G390" s="110"/>
      <c r="H390" s="110"/>
    </row>
    <row r="417" spans="2:2" x14ac:dyDescent="0.3">
      <c r="B417" s="22"/>
    </row>
    <row r="448" spans="2:2" x14ac:dyDescent="0.3">
      <c r="B448" s="22"/>
    </row>
    <row r="479" spans="2:2" x14ac:dyDescent="0.3">
      <c r="B479" s="22"/>
    </row>
    <row r="510" spans="2:2" x14ac:dyDescent="0.3">
      <c r="B510" s="22"/>
    </row>
    <row r="532" spans="1:3" x14ac:dyDescent="0.3">
      <c r="A532" s="20" t="e">
        <f>IF(AND(NOT(Budget!#REF!=""),Budget!#REF!=""),parameters!$C$510,"")</f>
        <v>#REF!</v>
      </c>
      <c r="C532" s="20" t="e">
        <f t="shared" ref="C532:C540" si="6">IF(NOT(A532=""),"issue","")</f>
        <v>#REF!</v>
      </c>
    </row>
    <row r="533" spans="1:3" x14ac:dyDescent="0.3">
      <c r="A533" s="20" t="e">
        <f>IF(AND(NOT(Budget!#REF!=""),Budget!#REF!=""),parameters!$C$510,"")</f>
        <v>#REF!</v>
      </c>
      <c r="C533" s="20" t="e">
        <f t="shared" si="6"/>
        <v>#REF!</v>
      </c>
    </row>
    <row r="534" spans="1:3" collapsed="1" x14ac:dyDescent="0.3">
      <c r="A534" s="20" t="e">
        <f>IF(AND(NOT(Budget!#REF!=""),Budget!#REF!=""),parameters!$C$510,"")</f>
        <v>#REF!</v>
      </c>
      <c r="C534" s="20" t="e">
        <f t="shared" si="6"/>
        <v>#REF!</v>
      </c>
    </row>
    <row r="535" spans="1:3" hidden="1" outlineLevel="1" x14ac:dyDescent="0.3">
      <c r="A535" s="20" t="e">
        <f>IF(AND(NOT(Budget!#REF!=""),Budget!#REF!=""),parameters!$C$510,"")</f>
        <v>#REF!</v>
      </c>
      <c r="C535" s="20" t="e">
        <f t="shared" si="6"/>
        <v>#REF!</v>
      </c>
    </row>
    <row r="536" spans="1:3" hidden="1" outlineLevel="1" x14ac:dyDescent="0.3">
      <c r="A536" s="20" t="e">
        <f>IF(AND(NOT(Budget!#REF!=""),Budget!#REF!=""),parameters!$C$510,"")</f>
        <v>#REF!</v>
      </c>
      <c r="C536" s="20" t="e">
        <f t="shared" si="6"/>
        <v>#REF!</v>
      </c>
    </row>
    <row r="537" spans="1:3" hidden="1" outlineLevel="1" x14ac:dyDescent="0.3">
      <c r="A537" s="20" t="e">
        <f>IF(AND(NOT(Budget!#REF!=""),Budget!#REF!=""),parameters!$C$510,"")</f>
        <v>#REF!</v>
      </c>
      <c r="C537" s="20" t="e">
        <f t="shared" si="6"/>
        <v>#REF!</v>
      </c>
    </row>
    <row r="538" spans="1:3" hidden="1" outlineLevel="1" x14ac:dyDescent="0.3">
      <c r="A538" s="20" t="e">
        <f>IF(AND(NOT(Budget!#REF!=""),Budget!#REF!=""),parameters!$C$510,"")</f>
        <v>#REF!</v>
      </c>
      <c r="C538" s="20" t="e">
        <f t="shared" si="6"/>
        <v>#REF!</v>
      </c>
    </row>
    <row r="539" spans="1:3" hidden="1" outlineLevel="1" x14ac:dyDescent="0.3">
      <c r="A539" s="20" t="e">
        <f>IF(AND(NOT(Budget!#REF!=""),Budget!#REF!=""),parameters!$C$510,"")</f>
        <v>#REF!</v>
      </c>
      <c r="C539" s="20" t="e">
        <f t="shared" si="6"/>
        <v>#REF!</v>
      </c>
    </row>
    <row r="540" spans="1:3" hidden="1" outlineLevel="1" x14ac:dyDescent="0.3">
      <c r="A540" s="20" t="e">
        <f>IF(AND(NOT(Budget!#REF!=""),Budget!#REF!=""),parameters!$C$510,"")</f>
        <v>#REF!</v>
      </c>
      <c r="C540" s="20" t="e">
        <f t="shared" si="6"/>
        <v>#REF!</v>
      </c>
    </row>
    <row r="541" spans="1:3" hidden="1" outlineLevel="1" x14ac:dyDescent="0.3">
      <c r="B541" s="22"/>
    </row>
    <row r="542" spans="1:3" hidden="1" outlineLevel="1" x14ac:dyDescent="0.3"/>
    <row r="543" spans="1:3" hidden="1" outlineLevel="1" x14ac:dyDescent="0.3"/>
    <row r="544" spans="1:3" collapsed="1" x14ac:dyDescent="0.3"/>
  </sheetData>
  <sheetProtection selectLockedCells="1" selectUnlockedCells="1"/>
  <sortState xmlns:xlrd2="http://schemas.microsoft.com/office/spreadsheetml/2017/richdata2" ref="G135:I297">
    <sortCondition ref="I135:I297"/>
  </sortState>
  <phoneticPr fontId="24" type="noConversion"/>
  <hyperlinks>
    <hyperlink ref="A131" r:id="rId1" xr:uid="{00000000-0004-0000-0300-000000000000}"/>
    <hyperlink ref="A130" r:id="rId2" xr:uid="{00000000-0004-0000-0300-000001000000}"/>
  </hyperlinks>
  <pageMargins left="0.7" right="0.7" top="0.75" bottom="0.75" header="0.3" footer="0.3"/>
  <pageSetup paperSize="9" orientation="portrait" r:id="rId3"/>
  <tableParts count="7">
    <tablePart r:id="rId4"/>
    <tablePart r:id="rId5"/>
    <tablePart r:id="rId6"/>
    <tablePart r:id="rId7"/>
    <tablePart r:id="rId8"/>
    <tablePart r:id="rId9"/>
    <tablePart r:id="rId10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21">
    <outlinePr summaryBelow="0"/>
  </sheetPr>
  <dimension ref="A2:DH288"/>
  <sheetViews>
    <sheetView topLeftCell="A28" zoomScale="107" workbookViewId="0">
      <selection activeCell="B48" sqref="B48"/>
    </sheetView>
  </sheetViews>
  <sheetFormatPr defaultColWidth="9.21875" defaultRowHeight="14.4" outlineLevelRow="2" x14ac:dyDescent="0.3"/>
  <cols>
    <col min="1" max="1" width="47.5546875" style="110" customWidth="1"/>
    <col min="2" max="2" width="32.21875" style="110" customWidth="1"/>
    <col min="3" max="3" width="23.77734375" style="110" customWidth="1"/>
    <col min="4" max="4" width="33.21875" style="110" customWidth="1"/>
    <col min="5" max="5" width="31.77734375" style="110" customWidth="1"/>
    <col min="6" max="6" width="32.77734375" style="110" customWidth="1"/>
    <col min="7" max="7" width="28.21875" style="110" customWidth="1"/>
    <col min="8" max="8" width="14.44140625" style="110" customWidth="1"/>
    <col min="9" max="9" width="11.21875" style="110" customWidth="1"/>
    <col min="10" max="10" width="23" style="110" customWidth="1"/>
    <col min="11" max="11" width="10" style="110" customWidth="1"/>
    <col min="12" max="12" width="14.77734375" style="110" customWidth="1"/>
    <col min="13" max="13" width="11.77734375" style="110" customWidth="1"/>
    <col min="14" max="14" width="10.44140625" style="110" customWidth="1"/>
    <col min="15" max="15" width="13.5546875" style="110" bestFit="1" customWidth="1"/>
    <col min="16" max="17" width="27.44140625" style="110" customWidth="1"/>
    <col min="18" max="18" width="9.44140625" style="110" bestFit="1" customWidth="1"/>
    <col min="19" max="20" width="9.21875" style="110"/>
    <col min="21" max="21" width="14.21875" style="110" customWidth="1"/>
    <col min="22" max="22" width="14.44140625" style="110" customWidth="1"/>
    <col min="23" max="23" width="13.5546875" style="110" bestFit="1" customWidth="1"/>
    <col min="24" max="24" width="9.21875" style="110"/>
    <col min="25" max="25" width="24.5546875" style="110" customWidth="1"/>
    <col min="26" max="26" width="19.21875" style="110" customWidth="1"/>
    <col min="27" max="16384" width="9.21875" style="110"/>
  </cols>
  <sheetData>
    <row r="2" spans="1:107" ht="18" x14ac:dyDescent="0.3">
      <c r="A2" s="58" t="s">
        <v>524</v>
      </c>
      <c r="B2" s="20"/>
    </row>
    <row r="3" spans="1:107" x14ac:dyDescent="0.3">
      <c r="B3" s="125"/>
    </row>
    <row r="6" spans="1:107" s="20" customFormat="1" x14ac:dyDescent="0.3"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CP6" s="21"/>
      <c r="CQ6" s="21"/>
      <c r="CR6" s="21"/>
      <c r="CS6" s="21"/>
      <c r="CT6" s="21"/>
      <c r="CU6" s="21"/>
      <c r="CV6" s="21"/>
      <c r="CW6" s="21"/>
      <c r="CX6" s="21"/>
    </row>
    <row r="7" spans="1:107" s="20" customFormat="1" ht="11.25" customHeight="1" x14ac:dyDescent="0.3">
      <c r="A7" s="58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CU7" s="21"/>
      <c r="CV7" s="21"/>
      <c r="CW7" s="21"/>
      <c r="CX7" s="21"/>
      <c r="CY7" s="21"/>
      <c r="CZ7" s="21"/>
      <c r="DA7" s="21"/>
      <c r="DB7" s="21"/>
      <c r="DC7" s="21"/>
    </row>
    <row r="8" spans="1:107" s="20" customFormat="1" ht="13.05" customHeight="1" x14ac:dyDescent="0.3">
      <c r="B8" s="22" t="s">
        <v>670</v>
      </c>
      <c r="G8" s="110"/>
      <c r="H8" s="115" t="s">
        <v>684</v>
      </c>
      <c r="I8" s="110"/>
      <c r="J8" s="110"/>
      <c r="K8" s="110"/>
      <c r="L8" s="110"/>
      <c r="M8" s="110"/>
      <c r="N8" s="110"/>
      <c r="O8" s="110"/>
      <c r="P8" s="22" t="s">
        <v>717</v>
      </c>
      <c r="R8" s="110"/>
      <c r="S8" s="110"/>
      <c r="T8" s="115" t="s">
        <v>730</v>
      </c>
      <c r="U8" s="110"/>
      <c r="V8" s="110"/>
      <c r="W8" s="110"/>
      <c r="X8" s="110"/>
      <c r="Y8" s="110"/>
      <c r="Z8" s="110"/>
      <c r="AA8" s="110"/>
      <c r="AB8" s="110"/>
      <c r="AC8" s="110"/>
      <c r="AD8" s="110"/>
      <c r="CR8" s="21"/>
      <c r="CS8" s="21"/>
      <c r="CT8" s="21"/>
      <c r="CU8" s="21"/>
      <c r="CV8" s="21"/>
      <c r="CW8" s="21"/>
      <c r="CX8" s="21"/>
      <c r="CY8" s="21"/>
      <c r="CZ8" s="21"/>
    </row>
    <row r="9" spans="1:107" s="20" customFormat="1" ht="13.05" customHeight="1" x14ac:dyDescent="0.3">
      <c r="B9" s="22" t="s">
        <v>167</v>
      </c>
      <c r="D9" s="110"/>
      <c r="E9" s="110"/>
      <c r="G9" s="110"/>
      <c r="H9" s="115" t="s">
        <v>167</v>
      </c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CP9" s="21"/>
      <c r="CQ9" s="21"/>
      <c r="CR9" s="21"/>
      <c r="CS9" s="21"/>
      <c r="CT9" s="21"/>
      <c r="CU9" s="21"/>
      <c r="CV9" s="21"/>
      <c r="CW9" s="21"/>
      <c r="CX9" s="21"/>
    </row>
    <row r="10" spans="1:107" s="20" customFormat="1" ht="11.25" customHeight="1" thickBot="1" x14ac:dyDescent="0.35">
      <c r="B10" s="22" t="s">
        <v>728</v>
      </c>
      <c r="C10" s="20" t="s">
        <v>671</v>
      </c>
      <c r="D10" s="110" t="s">
        <v>672</v>
      </c>
      <c r="E10" s="110" t="s">
        <v>725</v>
      </c>
      <c r="F10" s="110" t="s">
        <v>673</v>
      </c>
      <c r="H10" s="115" t="s">
        <v>728</v>
      </c>
      <c r="I10" s="110" t="s">
        <v>31</v>
      </c>
      <c r="J10" s="110" t="s">
        <v>32</v>
      </c>
      <c r="K10" s="110" t="s">
        <v>33</v>
      </c>
      <c r="L10" s="110" t="s">
        <v>558</v>
      </c>
      <c r="M10" s="110" t="s">
        <v>600</v>
      </c>
      <c r="N10" s="110" t="s">
        <v>10</v>
      </c>
      <c r="O10" s="110"/>
      <c r="P10" s="115" t="s">
        <v>553</v>
      </c>
      <c r="Q10" s="115" t="s">
        <v>555</v>
      </c>
      <c r="R10" s="110"/>
      <c r="S10" s="110"/>
      <c r="T10" s="115" t="s">
        <v>728</v>
      </c>
      <c r="U10" s="110" t="s">
        <v>600</v>
      </c>
      <c r="V10" s="110" t="s">
        <v>10</v>
      </c>
      <c r="W10" s="110" t="s">
        <v>731</v>
      </c>
      <c r="X10" s="110"/>
      <c r="Y10" s="110"/>
      <c r="Z10" s="110"/>
      <c r="AA10" s="110"/>
      <c r="AB10" s="110"/>
      <c r="CL10" s="21"/>
      <c r="CM10" s="21"/>
      <c r="CN10" s="21"/>
      <c r="CO10" s="21"/>
      <c r="CP10" s="21"/>
      <c r="CQ10" s="21"/>
      <c r="CR10" s="21"/>
      <c r="CS10" s="21"/>
      <c r="CT10" s="21"/>
    </row>
    <row r="11" spans="1:107" s="20" customFormat="1" ht="11.25" customHeight="1" x14ac:dyDescent="0.3">
      <c r="B11" s="83" t="str">
        <f ca="1">IF(IFERROR(MATCH("*",OFFSET(Budget!$A$18,B10,0,ROWS(Personnel[]),1),0)+B10,999)&lt;ROWS(Personnel[]),IFERROR(MATCH("*",OFFSET(Budget!$A$18,B10,0,ROWS(Personnel[]),1),0)+B10,999),"")</f>
        <v/>
      </c>
      <c r="C11" s="253" t="str">
        <f ca="1">IFERROR(INDEX(Personnel[Category],B11),"")</f>
        <v/>
      </c>
      <c r="D11" s="253" t="str">
        <f ca="1">IFERROR(INDEX(Personnel[Organisation type],B11),"")</f>
        <v/>
      </c>
      <c r="E11" s="165" t="str">
        <f ca="1">IF(B11="","",IF(_xlfn.IFNA(MATCH("*Postdoc*",C11,0)&gt;0,FALSE),IF(AND(INDEX(Personnel[FTE],B11)&gt;=pers_PD_min_FTE,INDEX(Personnel[Months],B11)&gt;=pers_PD_min_months),TRUE,FALSE),TRUE))</f>
        <v/>
      </c>
      <c r="F11" s="85" t="str">
        <f t="shared" ref="F11:F20" ca="1" si="0">IF(B11="","",_xlfn.IFNA(IF(AND(OR(_xlfn.IFNA(MATCH("*PhD*",C11,0)&gt;0,FALSE),_xlfn.IFNA(MATCH("*EngD*",C11,0)&gt;0,FALSE),_xlfn.IFNA(MATCH("*Postdoc*",C11,0)&gt;0,FALSE),_xlfn.IFNA(MATCH("*Physician*",C11,0)&gt;0,FALSE)),E11=TRUE,NOT(D11=pers_int_listname)),"yes","no"),"no"))</f>
        <v/>
      </c>
      <c r="G11" s="110"/>
      <c r="H11" s="165" t="str" cm="1">
        <f t="array" aca="1" ref="H11" ca="1">IFERROR(_xlfn.IFNA(INDEX($B$11:$E$20,H10+MATCH("yes",OFFSET($F$11,H10,0,ROWS(Personnel[])-H10,1),0),1),""),"")</f>
        <v/>
      </c>
      <c r="I11" s="110" t="str">
        <f ca="1">IFERROR(INDEX(Personnel[Category],H11),"")</f>
        <v/>
      </c>
      <c r="J11" s="110" t="str">
        <f ca="1">IFERROR(INDEX(Personnel[FTE],H11),"")</f>
        <v/>
      </c>
      <c r="K11" s="110" t="str">
        <f ca="1">IFERROR(INDEX(Personnel[Months],H11),"")</f>
        <v/>
      </c>
      <c r="L11" s="110" t="str">
        <f ca="1">SUBSTITUTE(IFERROR(INDEX(Personnel[Organisation type],H11),""),0,"")</f>
        <v/>
      </c>
      <c r="M11" s="110" t="str">
        <f ca="1">SUBSTITUTE(IFERROR(INDEX(Personnel[Name organisation],H11),""),0,"")</f>
        <v/>
      </c>
      <c r="N11" s="110" t="str">
        <f ca="1">IF(MIN(IFERROR(MATCH(pers_int_listname,OFFSET(Budget!$F$19,F10,0,ROWS(Personnel[])-F10,1),0)+F10,999),IFERROR(MATCH("*PhD*",OFFSET(Budget!$A$18,F10,0,ROWS(Personnel[])-F10,1),0)+F10,999),IFERROR(MATCH("*EngD*",OFFSET(Budget!$A$18,F10,0,ROWS(Personnel[])-F10,1),0)+F10,999))&lt;ROWS(Personnel[]),MIN(IFERROR(MATCH("*PostDoc*",OFFSET(Budget!$A$18,F10,0,ROWS(Personnel[])-F10,1),0)+F10,999),IFERROR(MATCH("*PhD*",OFFSET(Budget!$A$18,F10,0,ROWS(Personnel[])-F10,1),0)+F10,999),IFERROR(MATCH("*EngD*",OFFSET(Budget!$A$18,F10,0,ROWS(Personnel[])-F10,1),0)+F10,999)),"")</f>
        <v/>
      </c>
      <c r="O11" s="110"/>
      <c r="P11" s="270" t="str">
        <f>IF(ROW(E1091)-ROW($E$1091)&lt;ROWS(inkind[]),IFERROR(IF(INDEX(list_cofunders[private?],MATCH(Budget!F126,list_cofunders[list cofunders],0),1)="yes",Budget!H126,""),""),"")</f>
        <v/>
      </c>
      <c r="Q11" s="270" t="str">
        <f>IF(ROW(E1194)-ROW($E$1194)&lt;ROWS(incash[]),IFERROR(IF(INDEX(list_cofunders[private?],MATCH(Budget!F144,list_cofunders[list cofunders],0),1)="yes",Budget!H144,""),""),"")</f>
        <v/>
      </c>
      <c r="R11" s="110" t="str">
        <f>IFERROR(INDEX(Personnel[FTE],P11),"")</f>
        <v/>
      </c>
      <c r="S11" s="110"/>
      <c r="T11" s="165" t="str">
        <f ca="1">IF(IFERROR(MATCH(pers_int_listname,OFFSET(Budget!$F$18,T10,0,ROWS(Personnel[]),1),0)+T10,999)&lt;ROWS(Personnel[]),IFERROR(MATCH(pers_int_listname,OFFSET(Budget!$F$18,T10,0,ROWS(Personnel[]),1),0)+T10,999),"")</f>
        <v/>
      </c>
      <c r="U11" s="110" t="str">
        <f ca="1">IFERROR(INDEX(Personnel[Name organisation],T11),"")</f>
        <v/>
      </c>
      <c r="V11" s="270" t="str">
        <f ca="1">IFERROR(INDEX(Personnel[Amount],T11),"")</f>
        <v/>
      </c>
      <c r="W11" s="270" t="str">
        <f ca="1">IF(SUMIF(pers_abr_amount_org[Name org],pers_abr_amount_org[[#This Row],[Name org]],pers_abr_amount_org[Amount])&gt;0,SUMIF(pers_abr_amount_org[Name org],pers_abr_amount_org[[#This Row],[Name org]],pers_abr_amount_org[Amount]),"")</f>
        <v/>
      </c>
      <c r="X11" s="110"/>
      <c r="Y11" s="165"/>
      <c r="Z11" s="110"/>
      <c r="AA11" s="270"/>
      <c r="AB11" s="110"/>
      <c r="CN11" s="21"/>
      <c r="CO11" s="21"/>
      <c r="CP11" s="21"/>
      <c r="CQ11" s="21"/>
      <c r="CR11" s="21"/>
      <c r="CS11" s="21"/>
      <c r="CT11" s="21"/>
      <c r="CU11" s="21"/>
      <c r="CV11" s="21"/>
    </row>
    <row r="12" spans="1:107" s="20" customFormat="1" ht="11.25" customHeight="1" outlineLevel="1" x14ac:dyDescent="0.3">
      <c r="B12" s="84" t="str">
        <f ca="1">IF(IFERROR(MATCH("*",OFFSET(Budget!$A$18,B11,0,ROWS(Personnel[]),1),0)+B11,999)&lt;ROWS(Personnel[]),IFERROR(MATCH("*",OFFSET(Budget!$A$18,B11,0,ROWS(Personnel[]),1),0)+B11,999),"")</f>
        <v/>
      </c>
      <c r="C12" s="165" t="str">
        <f ca="1">IFERROR(INDEX(Personnel[Category],B12),"")</f>
        <v/>
      </c>
      <c r="D12" s="165" t="str">
        <f ca="1">IFERROR(INDEX(Personnel[Organisation type],B12),"")</f>
        <v/>
      </c>
      <c r="E12" s="165" t="str">
        <f ca="1">IF(B12="","",IF(_xlfn.IFNA(MATCH("*Postdoc*",C12,0)&gt;0,FALSE),IF(AND(INDEX(Personnel[FTE],B12)&gt;=pers_PD_min_FTE,INDEX(Personnel[Months],B12)&gt;=pers_PD_min_months),TRUE,FALSE),TRUE))</f>
        <v/>
      </c>
      <c r="F12" s="257" t="str">
        <f t="shared" ca="1" si="0"/>
        <v/>
      </c>
      <c r="G12" s="110"/>
      <c r="H12" s="165" t="str" cm="1">
        <f t="array" aca="1" ref="H12" ca="1">IFERROR(_xlfn.IFNA(INDEX($B$11:$E$20,H11+MATCH("yes",OFFSET($F$11,H11,0,ROWS(Personnel[])-H11,1),0),1),""),"")</f>
        <v/>
      </c>
      <c r="I12" s="110" t="str">
        <f ca="1">IFERROR(INDEX(Personnel[Category],H12),"")</f>
        <v/>
      </c>
      <c r="J12" s="110" t="str">
        <f ca="1">IFERROR(INDEX(Personnel[FTE],H12),"")</f>
        <v/>
      </c>
      <c r="K12" s="110" t="str">
        <f ca="1">IFERROR(INDEX(Personnel[Months],H12),"")</f>
        <v/>
      </c>
      <c r="L12" s="110" t="str">
        <f ca="1">SUBSTITUTE(IFERROR(INDEX(Personnel[Organisation type],H12),""),0,"")</f>
        <v/>
      </c>
      <c r="M12" s="110" t="str">
        <f ca="1">SUBSTITUTE(IFERROR(INDEX(Personnel[Name organisation],H12),""),0,"")</f>
        <v/>
      </c>
      <c r="N12" s="110"/>
      <c r="O12" s="110"/>
      <c r="P12" s="270" t="str">
        <f>IF(ROW(E1092)-ROW($E$1091)&lt;ROWS(inkind[]),IFERROR(IF(INDEX(list_cofunders[private?],MATCH(Budget!F127,list_cofunders[list cofunders],0),1)="yes",Budget!H127,""),""),"")</f>
        <v/>
      </c>
      <c r="Q12" s="270" t="str">
        <f>IF(ROW(E1195)-ROW($E$1194)&lt;ROWS(incash[]),IFERROR(IF(INDEX(list_cofunders[private?],MATCH(Budget!F145,list_cofunders[list cofunders],0),1)="yes",Budget!H145,""),""),"")</f>
        <v/>
      </c>
      <c r="R12" s="110" t="str">
        <f>IFERROR(INDEX(Personnel[FTE],P12),"")</f>
        <v/>
      </c>
      <c r="S12" s="110"/>
      <c r="T12" s="165" t="str">
        <f ca="1">IF(IFERROR(MATCH(pers_int_listname,OFFSET(Budget!$F$18,T11,0,ROWS(Personnel[]),1),0)+T11,999)&lt;ROWS(Personnel[]),IFERROR(MATCH(pers_int_listname,OFFSET(Budget!$F$18,T11,0,ROWS(Personnel[]),1),0)+T11,999),"")</f>
        <v/>
      </c>
      <c r="U12" s="110" t="str">
        <f ca="1">IFERROR(INDEX(Personnel[Name organisation],T12),"")</f>
        <v/>
      </c>
      <c r="V12" s="270" t="str">
        <f ca="1">IFERROR(INDEX(Personnel[Amount],T12),"")</f>
        <v/>
      </c>
      <c r="W12" s="270" t="str">
        <f ca="1">IF(SUMIF(pers_abr_amount_org[Name org],pers_abr_amount_org[[#This Row],[Name org]],pers_abr_amount_org[Amount])&gt;0,SUMIF(pers_abr_amount_org[Name org],pers_abr_amount_org[[#This Row],[Name org]],pers_abr_amount_org[Amount]),"")</f>
        <v/>
      </c>
      <c r="X12" s="110"/>
      <c r="Y12" s="165"/>
      <c r="Z12" s="110"/>
      <c r="AA12" s="270"/>
      <c r="AB12" s="110"/>
      <c r="CN12" s="21"/>
      <c r="CO12" s="21"/>
      <c r="CP12" s="21"/>
      <c r="CQ12" s="21"/>
      <c r="CR12" s="21"/>
      <c r="CS12" s="21"/>
      <c r="CT12" s="21"/>
      <c r="CU12" s="21"/>
      <c r="CV12" s="21"/>
    </row>
    <row r="13" spans="1:107" s="20" customFormat="1" ht="11.25" customHeight="1" outlineLevel="1" x14ac:dyDescent="0.3">
      <c r="B13" s="84" t="str">
        <f ca="1">IF(IFERROR(MATCH("*",OFFSET(Budget!$A$18,B12,0,ROWS(Personnel[]),1),0)+B12,999)&lt;ROWS(Personnel[]),IFERROR(MATCH("*",OFFSET(Budget!$A$18,B12,0,ROWS(Personnel[]),1),0)+B12,999),"")</f>
        <v/>
      </c>
      <c r="C13" s="165" t="str">
        <f ca="1">IFERROR(INDEX(Personnel[Category],B13),"")</f>
        <v/>
      </c>
      <c r="D13" s="165" t="str">
        <f ca="1">IFERROR(INDEX(Personnel[Organisation type],B13),"")</f>
        <v/>
      </c>
      <c r="E13" s="165" t="str">
        <f ca="1">IF(B13="","",IF(_xlfn.IFNA(MATCH("*Postdoc*",C13,0)&gt;0,FALSE),IF(AND(INDEX(Personnel[FTE],B13)&gt;=pers_PD_min_FTE,INDEX(Personnel[Months],B13)&gt;=pers_PD_min_months),TRUE,FALSE),TRUE))</f>
        <v/>
      </c>
      <c r="F13" s="257" t="str">
        <f t="shared" ca="1" si="0"/>
        <v/>
      </c>
      <c r="G13" s="110"/>
      <c r="H13" s="165" t="str" cm="1">
        <f t="array" aca="1" ref="H13" ca="1">IFERROR(_xlfn.IFNA(INDEX($B$11:$E$20,H12+MATCH("yes",OFFSET($F$11,H12,0,ROWS(Personnel[])-H12,1),0),1),""),"")</f>
        <v/>
      </c>
      <c r="I13" s="110" t="str">
        <f ca="1">IFERROR(INDEX(Personnel[Category],H13),"")</f>
        <v/>
      </c>
      <c r="J13" s="110" t="str">
        <f ca="1">IFERROR(INDEX(Personnel[FTE],H13),"")</f>
        <v/>
      </c>
      <c r="K13" s="110" t="str">
        <f ca="1">IFERROR(INDEX(Personnel[Months],H13),"")</f>
        <v/>
      </c>
      <c r="L13" s="110" t="str">
        <f ca="1">SUBSTITUTE(IFERROR(INDEX(Personnel[Organisation type],H13),""),0,"")</f>
        <v/>
      </c>
      <c r="M13" s="110" t="str">
        <f ca="1">SUBSTITUTE(IFERROR(INDEX(Personnel[Name organisation],H13),""),0,"")</f>
        <v/>
      </c>
      <c r="N13" s="110"/>
      <c r="O13" s="110"/>
      <c r="P13" s="270" t="str">
        <f>IF(ROW(E1093)-ROW($E$1091)&lt;ROWS(inkind[]),IFERROR(IF(INDEX(list_cofunders[private?],MATCH(Budget!F133,list_cofunders[list cofunders],0),1)="yes",Budget!H133,""),""),"")</f>
        <v/>
      </c>
      <c r="Q13" s="270" t="str">
        <f>IF(ROW(E1196)-ROW($E$1194)&lt;ROWS(incash[]),IFERROR(IF(INDEX(list_cofunders[private?],MATCH(Budget!F146,list_cofunders[list cofunders],0),1)="yes",Budget!H146,""),""),"")</f>
        <v/>
      </c>
      <c r="R13" s="110" t="str">
        <f>IFERROR(INDEX(Personnel[FTE],P13),"")</f>
        <v/>
      </c>
      <c r="S13" s="110"/>
      <c r="T13" s="165" t="str">
        <f ca="1">IF(IFERROR(MATCH(pers_int_listname,OFFSET(Budget!$F$18,T12,0,ROWS(Personnel[]),1),0)+T12,999)&lt;ROWS(Personnel[]),IFERROR(MATCH(pers_int_listname,OFFSET(Budget!$F$18,T12,0,ROWS(Personnel[]),1),0)+T12,999),"")</f>
        <v/>
      </c>
      <c r="U13" s="110" t="str">
        <f ca="1">IFERROR(INDEX(Personnel[Name organisation],T13),"")</f>
        <v/>
      </c>
      <c r="V13" s="270" t="str">
        <f ca="1">IFERROR(INDEX(Personnel[Amount],T13),"")</f>
        <v/>
      </c>
      <c r="W13" s="270" t="str">
        <f ca="1">IF(SUMIF(pers_abr_amount_org[Name org],pers_abr_amount_org[[#This Row],[Name org]],pers_abr_amount_org[Amount])&gt;0,SUMIF(pers_abr_amount_org[Name org],pers_abr_amount_org[[#This Row],[Name org]],pers_abr_amount_org[Amount]),"")</f>
        <v/>
      </c>
      <c r="X13" s="110"/>
      <c r="Y13" s="165"/>
      <c r="Z13" s="110"/>
      <c r="AA13" s="270"/>
      <c r="AB13" s="110"/>
      <c r="CN13" s="21"/>
      <c r="CO13" s="21"/>
      <c r="CP13" s="21"/>
      <c r="CQ13" s="21"/>
      <c r="CR13" s="21"/>
      <c r="CS13" s="21"/>
      <c r="CT13" s="21"/>
      <c r="CU13" s="21"/>
      <c r="CV13" s="21"/>
    </row>
    <row r="14" spans="1:107" s="20" customFormat="1" ht="11.25" customHeight="1" outlineLevel="1" x14ac:dyDescent="0.3">
      <c r="B14" s="84" t="str">
        <f ca="1">IF(IFERROR(MATCH("*",OFFSET(Budget!$A$18,B13,0,ROWS(Personnel[]),1),0)+B13,999)&lt;ROWS(Personnel[]),IFERROR(MATCH("*",OFFSET(Budget!$A$18,B13,0,ROWS(Personnel[]),1),0)+B13,999),"")</f>
        <v/>
      </c>
      <c r="C14" s="165" t="str">
        <f ca="1">IFERROR(INDEX(Personnel[Category],B14),"")</f>
        <v/>
      </c>
      <c r="D14" s="165" t="str">
        <f ca="1">IFERROR(INDEX(Personnel[Organisation type],B14),"")</f>
        <v/>
      </c>
      <c r="E14" s="165" t="str">
        <f ca="1">IF(B14="","",IF(_xlfn.IFNA(MATCH("*Postdoc*",C14,0)&gt;0,FALSE),IF(AND(INDEX(Personnel[FTE],B14)&gt;=pers_PD_min_FTE,INDEX(Personnel[Months],B14)&gt;=pers_PD_min_months),TRUE,FALSE),TRUE))</f>
        <v/>
      </c>
      <c r="F14" s="257" t="str">
        <f t="shared" ca="1" si="0"/>
        <v/>
      </c>
      <c r="G14" s="110"/>
      <c r="H14" s="165" t="str" cm="1">
        <f t="array" aca="1" ref="H14" ca="1">IFERROR(_xlfn.IFNA(INDEX($B$11:$E$20,H13+MATCH("yes",OFFSET($F$11,H13,0,ROWS(Personnel[])-H13,1),0),1),""),"")</f>
        <v/>
      </c>
      <c r="I14" s="110" t="str">
        <f ca="1">IFERROR(INDEX(Personnel[Category],H14),"")</f>
        <v/>
      </c>
      <c r="J14" s="110" t="str">
        <f ca="1">IFERROR(INDEX(Personnel[FTE],H14),"")</f>
        <v/>
      </c>
      <c r="K14" s="110" t="str">
        <f ca="1">IFERROR(INDEX(Personnel[Months],H14),"")</f>
        <v/>
      </c>
      <c r="L14" s="110" t="str">
        <f ca="1">SUBSTITUTE(IFERROR(INDEX(Personnel[Organisation type],H14),""),0,"")</f>
        <v/>
      </c>
      <c r="M14" s="110" t="str">
        <f ca="1">SUBSTITUTE(IFERROR(INDEX(Personnel[Name organisation],H14),""),0,"")</f>
        <v/>
      </c>
      <c r="N14" s="110"/>
      <c r="O14" s="110"/>
      <c r="P14" s="270" t="str">
        <f>IF(ROW(E1094)-ROW($E$1091)&lt;ROWS(inkind[]),IFERROR(IF(INDEX(list_cofunders[private?],MATCH(Budget!F134,list_cofunders[list cofunders],0),1)="yes",Budget!H134,""),""),"")</f>
        <v/>
      </c>
      <c r="Q14" s="270" t="str">
        <f>IF(ROW(E1197)-ROW($E$1194)&lt;ROWS(incash[]),IFERROR(IF(INDEX(list_cofunders[private?],MATCH(Budget!F147,list_cofunders[list cofunders],0),1)="yes",Budget!H147,""),""),"")</f>
        <v/>
      </c>
      <c r="R14" s="110" t="str">
        <f>IFERROR(INDEX(Personnel[FTE],P14),"")</f>
        <v/>
      </c>
      <c r="S14" s="110"/>
      <c r="T14" s="165" t="str">
        <f ca="1">IF(IFERROR(MATCH(pers_int_listname,OFFSET(Budget!$F$18,T13,0,ROWS(Personnel[]),1),0)+T13,999)&lt;ROWS(Personnel[]),IFERROR(MATCH(pers_int_listname,OFFSET(Budget!$F$18,T13,0,ROWS(Personnel[]),1),0)+T13,999),"")</f>
        <v/>
      </c>
      <c r="U14" s="110" t="str">
        <f ca="1">IFERROR(INDEX(Personnel[Name organisation],T14),"")</f>
        <v/>
      </c>
      <c r="V14" s="270" t="str">
        <f ca="1">IFERROR(INDEX(Personnel[Amount],T14),"")</f>
        <v/>
      </c>
      <c r="W14" s="270" t="str">
        <f ca="1">IF(SUMIF(pers_abr_amount_org[Name org],pers_abr_amount_org[[#This Row],[Name org]],pers_abr_amount_org[Amount])&gt;0,SUMIF(pers_abr_amount_org[Name org],pers_abr_amount_org[[#This Row],[Name org]],pers_abr_amount_org[Amount]),"")</f>
        <v/>
      </c>
      <c r="X14" s="110"/>
      <c r="Y14" s="165"/>
      <c r="Z14" s="110"/>
      <c r="AA14" s="270"/>
      <c r="AB14" s="110"/>
      <c r="CN14" s="21"/>
      <c r="CO14" s="21"/>
      <c r="CP14" s="21"/>
      <c r="CQ14" s="21"/>
      <c r="CR14" s="21"/>
      <c r="CS14" s="21"/>
      <c r="CT14" s="21"/>
      <c r="CU14" s="21"/>
      <c r="CV14" s="21"/>
    </row>
    <row r="15" spans="1:107" s="20" customFormat="1" ht="11.25" customHeight="1" outlineLevel="1" x14ac:dyDescent="0.3">
      <c r="B15" s="84" t="str">
        <f ca="1">IF(IFERROR(MATCH("*",OFFSET(Budget!$A$18,B14,0,ROWS(Personnel[]),1),0)+B14,999)&lt;ROWS(Personnel[]),IFERROR(MATCH("*",OFFSET(Budget!$A$18,B14,0,ROWS(Personnel[]),1),0)+B14,999),"")</f>
        <v/>
      </c>
      <c r="C15" s="165" t="str">
        <f ca="1">IFERROR(INDEX(Personnel[Category],B15),"")</f>
        <v/>
      </c>
      <c r="D15" s="165" t="str">
        <f ca="1">IFERROR(INDEX(Personnel[Organisation type],B15),"")</f>
        <v/>
      </c>
      <c r="E15" s="165" t="str">
        <f ca="1">IF(B15="","",IF(_xlfn.IFNA(MATCH("*Postdoc*",C15,0)&gt;0,FALSE),IF(AND(INDEX(Personnel[FTE],B15)&gt;=pers_PD_min_FTE,INDEX(Personnel[Months],B15)&gt;=pers_PD_min_months),TRUE,FALSE),TRUE))</f>
        <v/>
      </c>
      <c r="F15" s="257" t="str">
        <f t="shared" ca="1" si="0"/>
        <v/>
      </c>
      <c r="G15" s="110"/>
      <c r="H15" s="165" t="str" cm="1">
        <f t="array" aca="1" ref="H15" ca="1">IFERROR(_xlfn.IFNA(INDEX($B$11:$E$20,H14+MATCH("yes",OFFSET($F$11,H14,0,ROWS(Personnel[])-H14,1),0),1),""),"")</f>
        <v/>
      </c>
      <c r="I15" s="110" t="str">
        <f ca="1">IFERROR(INDEX(Personnel[Category],H15),"")</f>
        <v/>
      </c>
      <c r="J15" s="110" t="str">
        <f ca="1">IFERROR(INDEX(Personnel[FTE],H15),"")</f>
        <v/>
      </c>
      <c r="K15" s="110" t="str">
        <f ca="1">IFERROR(INDEX(Personnel[Months],H15),"")</f>
        <v/>
      </c>
      <c r="L15" s="110" t="str">
        <f ca="1">SUBSTITUTE(IFERROR(INDEX(Personnel[Organisation type],H15),""),0,"")</f>
        <v/>
      </c>
      <c r="M15" s="110" t="str">
        <f ca="1">SUBSTITUTE(IFERROR(INDEX(Personnel[Name organisation],H15),""),0,"")</f>
        <v/>
      </c>
      <c r="N15" s="110"/>
      <c r="O15" s="110"/>
      <c r="P15" s="270" t="str">
        <f>IF(ROW(E1095)-ROW($E$1091)&lt;ROWS(inkind[]),IFERROR(IF(INDEX(list_cofunders[private?],MATCH(Budget!F135,list_cofunders[list cofunders],0),1)="yes",Budget!H135,""),""),"")</f>
        <v/>
      </c>
      <c r="Q15" s="270" t="str">
        <f>IF(ROW(E1198)-ROW($E$1194)&lt;ROWS(incash[]),IFERROR(IF(INDEX(list_cofunders[private?],MATCH(Budget!F148,list_cofunders[list cofunders],0),1)="yes",Budget!H148,""),""),"")</f>
        <v/>
      </c>
      <c r="R15" s="110" t="str">
        <f>IFERROR(INDEX(Personnel[FTE],P15),"")</f>
        <v/>
      </c>
      <c r="S15" s="110"/>
      <c r="T15" s="165" t="str">
        <f ca="1">IF(IFERROR(MATCH(pers_int_listname,OFFSET(Budget!$F$18,T14,0,ROWS(Personnel[]),1),0)+T14,999)&lt;ROWS(Personnel[]),IFERROR(MATCH(pers_int_listname,OFFSET(Budget!$F$18,T14,0,ROWS(Personnel[]),1),0)+T14,999),"")</f>
        <v/>
      </c>
      <c r="U15" s="110" t="str">
        <f ca="1">IFERROR(INDEX(Personnel[Name organisation],T15),"")</f>
        <v/>
      </c>
      <c r="V15" s="270" t="str">
        <f ca="1">IFERROR(INDEX(Personnel[Amount],T15),"")</f>
        <v/>
      </c>
      <c r="W15" s="270" t="str">
        <f ca="1">IF(SUMIF(pers_abr_amount_org[Name org],pers_abr_amount_org[[#This Row],[Name org]],pers_abr_amount_org[Amount])&gt;0,SUMIF(pers_abr_amount_org[Name org],pers_abr_amount_org[[#This Row],[Name org]],pers_abr_amount_org[Amount]),"")</f>
        <v/>
      </c>
      <c r="X15" s="110"/>
      <c r="Y15" s="165"/>
      <c r="Z15" s="110"/>
      <c r="AA15" s="270"/>
      <c r="AB15" s="110"/>
      <c r="CN15" s="21"/>
      <c r="CO15" s="21"/>
      <c r="CP15" s="21"/>
      <c r="CQ15" s="21"/>
      <c r="CR15" s="21"/>
      <c r="CS15" s="21"/>
      <c r="CT15" s="21"/>
      <c r="CU15" s="21"/>
      <c r="CV15" s="21"/>
    </row>
    <row r="16" spans="1:107" s="20" customFormat="1" ht="11.25" customHeight="1" outlineLevel="1" x14ac:dyDescent="0.3">
      <c r="B16" s="84" t="str">
        <f ca="1">IF(IFERROR(MATCH("*",OFFSET(Budget!$A$18,B15,0,ROWS(Personnel[]),1),0)+B15,999)&lt;ROWS(Personnel[]),IFERROR(MATCH("*",OFFSET(Budget!$A$18,B15,0,ROWS(Personnel[]),1),0)+B15,999),"")</f>
        <v/>
      </c>
      <c r="C16" s="165" t="str">
        <f ca="1">IFERROR(INDEX(Personnel[Category],B16),"")</f>
        <v/>
      </c>
      <c r="D16" s="165" t="str">
        <f ca="1">IFERROR(INDEX(Personnel[Organisation type],B16),"")</f>
        <v/>
      </c>
      <c r="E16" s="165" t="str">
        <f ca="1">IF(B16="","",IF(_xlfn.IFNA(MATCH("*Postdoc*",C16,0)&gt;0,FALSE),IF(AND(INDEX(Personnel[FTE],B16)&gt;=pers_PD_min_FTE,INDEX(Personnel[Months],B16)&gt;=pers_PD_min_months),TRUE,FALSE),TRUE))</f>
        <v/>
      </c>
      <c r="F16" s="257" t="str">
        <f t="shared" ca="1" si="0"/>
        <v/>
      </c>
      <c r="G16" s="110"/>
      <c r="H16" s="165" t="str" cm="1">
        <f t="array" aca="1" ref="H16" ca="1">IFERROR(_xlfn.IFNA(INDEX($B$11:$E$20,H15+MATCH("yes",OFFSET($F$11,H15,0,ROWS(Personnel[])-H15,1),0),1),""),"")</f>
        <v/>
      </c>
      <c r="I16" s="110" t="str">
        <f ca="1">IFERROR(INDEX(Personnel[Category],H16),"")</f>
        <v/>
      </c>
      <c r="J16" s="110" t="str">
        <f ca="1">IFERROR(INDEX(Personnel[FTE],H16),"")</f>
        <v/>
      </c>
      <c r="K16" s="110" t="str">
        <f ca="1">IFERROR(INDEX(Personnel[Months],H16),"")</f>
        <v/>
      </c>
      <c r="L16" s="110" t="str">
        <f ca="1">SUBSTITUTE(IFERROR(INDEX(Personnel[Organisation type],H16),""),0,"")</f>
        <v/>
      </c>
      <c r="M16" s="110" t="str">
        <f ca="1">SUBSTITUTE(IFERROR(INDEX(Personnel[Name organisation],H16),""),0,"")</f>
        <v/>
      </c>
      <c r="N16" s="110"/>
      <c r="O16" s="110"/>
      <c r="P16" s="270" t="str">
        <f>IF(ROW(E1096)-ROW($E$1091)&lt;ROWS(inkind[]),IFERROR(IF(INDEX(list_cofunders[private?],MATCH(Budget!F136,list_cofunders[list cofunders],0),1)="yes",Budget!H136,""),""),"")</f>
        <v/>
      </c>
      <c r="Q16" s="270" t="str">
        <f>IF(ROW(E1199)-ROW($E$1194)&lt;ROWS(incash[]),IFERROR(IF(INDEX(list_cofunders[private?],MATCH(Budget!F149,list_cofunders[list cofunders],0),1)="yes",Budget!H149,""),""),"")</f>
        <v/>
      </c>
      <c r="R16" s="110" t="str">
        <f>IFERROR(INDEX(Personnel[FTE],P16),"")</f>
        <v/>
      </c>
      <c r="S16" s="110"/>
      <c r="T16" s="165" t="str">
        <f ca="1">IF(IFERROR(MATCH(pers_int_listname,OFFSET(Budget!$F$18,T15,0,ROWS(Personnel[]),1),0)+T15,999)&lt;ROWS(Personnel[]),IFERROR(MATCH(pers_int_listname,OFFSET(Budget!$F$18,T15,0,ROWS(Personnel[]),1),0)+T15,999),"")</f>
        <v/>
      </c>
      <c r="U16" s="110" t="str">
        <f ca="1">IFERROR(INDEX(Personnel[Name organisation],T16),"")</f>
        <v/>
      </c>
      <c r="V16" s="270" t="str">
        <f ca="1">IFERROR(INDEX(Personnel[Amount],T16),"")</f>
        <v/>
      </c>
      <c r="W16" s="270" t="str">
        <f ca="1">IF(SUMIF(pers_abr_amount_org[Name org],pers_abr_amount_org[[#This Row],[Name org]],pers_abr_amount_org[Amount])&gt;0,SUMIF(pers_abr_amount_org[Name org],pers_abr_amount_org[[#This Row],[Name org]],pers_abr_amount_org[Amount]),"")</f>
        <v/>
      </c>
      <c r="X16" s="110"/>
      <c r="Y16" s="165"/>
      <c r="Z16" s="110"/>
      <c r="AA16" s="270"/>
      <c r="AB16" s="110"/>
      <c r="CN16" s="21"/>
      <c r="CO16" s="21"/>
      <c r="CP16" s="21"/>
      <c r="CQ16" s="21"/>
      <c r="CR16" s="21"/>
      <c r="CS16" s="21"/>
      <c r="CT16" s="21"/>
      <c r="CU16" s="21"/>
      <c r="CV16" s="21"/>
    </row>
    <row r="17" spans="1:112" s="20" customFormat="1" ht="11.25" customHeight="1" outlineLevel="1" x14ac:dyDescent="0.3">
      <c r="B17" s="84" t="str">
        <f ca="1">IF(IFERROR(MATCH("*",OFFSET(Budget!$A$18,B16,0,ROWS(Personnel[]),1),0)+B16,999)&lt;ROWS(Personnel[]),IFERROR(MATCH("*",OFFSET(Budget!$A$18,B16,0,ROWS(Personnel[]),1),0)+B16,999),"")</f>
        <v/>
      </c>
      <c r="C17" s="165" t="str">
        <f ca="1">IFERROR(INDEX(Personnel[Category],B17),"")</f>
        <v/>
      </c>
      <c r="D17" s="165" t="str">
        <f ca="1">IFERROR(INDEX(Personnel[Organisation type],B17),"")</f>
        <v/>
      </c>
      <c r="E17" s="165" t="str">
        <f ca="1">IF(B17="","",IF(_xlfn.IFNA(MATCH("*Postdoc*",C17,0)&gt;0,FALSE),IF(AND(INDEX(Personnel[FTE],B17)&gt;=pers_PD_min_FTE,INDEX(Personnel[Months],B17)&gt;=pers_PD_min_months),TRUE,FALSE),TRUE))</f>
        <v/>
      </c>
      <c r="F17" s="257" t="str">
        <f t="shared" ca="1" si="0"/>
        <v/>
      </c>
      <c r="G17" s="110"/>
      <c r="H17" s="165" t="str" cm="1">
        <f t="array" aca="1" ref="H17" ca="1">IFERROR(_xlfn.IFNA(INDEX($B$11:$E$20,H16+MATCH("yes",OFFSET($F$11,H16,0,ROWS(Personnel[])-H16,1),0),1),""),"")</f>
        <v/>
      </c>
      <c r="I17" s="110" t="str">
        <f ca="1">IFERROR(INDEX(Personnel[Category],H17),"")</f>
        <v/>
      </c>
      <c r="J17" s="110" t="str">
        <f ca="1">IFERROR(INDEX(Personnel[FTE],H17),"")</f>
        <v/>
      </c>
      <c r="K17" s="110" t="str">
        <f ca="1">IFERROR(INDEX(Personnel[Months],H17),"")</f>
        <v/>
      </c>
      <c r="L17" s="110" t="str">
        <f ca="1">SUBSTITUTE(IFERROR(INDEX(Personnel[Organisation type],H17),""),0,"")</f>
        <v/>
      </c>
      <c r="M17" s="110" t="str">
        <f ca="1">SUBSTITUTE(IFERROR(INDEX(Personnel[Name organisation],H17),""),0,"")</f>
        <v/>
      </c>
      <c r="N17" s="110"/>
      <c r="O17" s="110"/>
      <c r="P17" s="270" t="str">
        <f>IF(ROW(E1097)-ROW($E$1091)&lt;ROWS(inkind[]),IFERROR(IF(INDEX(list_cofunders[private?],MATCH(Budget!F137,list_cofunders[list cofunders],0),1)="yes",Budget!H137,""),""),"")</f>
        <v/>
      </c>
      <c r="Q17" s="270" t="str">
        <f>IF(ROW(E1200)-ROW($E$1194)&lt;ROWS(incash[]),IFERROR(IF(INDEX(list_cofunders[private?],MATCH(Budget!F150,list_cofunders[list cofunders],0),1)="yes",Budget!H150,""),""),"")</f>
        <v/>
      </c>
      <c r="R17" s="110" t="str">
        <f>IFERROR(INDEX(Personnel[FTE],P17),"")</f>
        <v/>
      </c>
      <c r="S17" s="110"/>
      <c r="T17" s="165" t="str">
        <f ca="1">IF(IFERROR(MATCH(pers_int_listname,OFFSET(Budget!$F$18,T16,0,ROWS(Personnel[]),1),0)+T16,999)&lt;ROWS(Personnel[]),IFERROR(MATCH(pers_int_listname,OFFSET(Budget!$F$18,T16,0,ROWS(Personnel[]),1),0)+T16,999),"")</f>
        <v/>
      </c>
      <c r="U17" s="110" t="str">
        <f ca="1">IFERROR(INDEX(Personnel[Name organisation],T17),"")</f>
        <v/>
      </c>
      <c r="V17" s="270" t="str">
        <f ca="1">IFERROR(INDEX(Personnel[Amount],T17),"")</f>
        <v/>
      </c>
      <c r="W17" s="270" t="str">
        <f ca="1">IF(SUMIF(pers_abr_amount_org[Name org],pers_abr_amount_org[[#This Row],[Name org]],pers_abr_amount_org[Amount])&gt;0,SUMIF(pers_abr_amount_org[Name org],pers_abr_amount_org[[#This Row],[Name org]],pers_abr_amount_org[Amount]),"")</f>
        <v/>
      </c>
      <c r="X17" s="110"/>
      <c r="Y17" s="165"/>
      <c r="Z17" s="110"/>
      <c r="AA17" s="270"/>
      <c r="AB17" s="110"/>
      <c r="CN17" s="21"/>
      <c r="CO17" s="21"/>
      <c r="CP17" s="21"/>
      <c r="CQ17" s="21"/>
      <c r="CR17" s="21"/>
      <c r="CS17" s="21"/>
      <c r="CT17" s="21"/>
      <c r="CU17" s="21"/>
      <c r="CV17" s="21"/>
    </row>
    <row r="18" spans="1:112" s="20" customFormat="1" ht="11.25" customHeight="1" outlineLevel="1" x14ac:dyDescent="0.3">
      <c r="B18" s="84" t="str">
        <f ca="1">IF(IFERROR(MATCH("*",OFFSET(Budget!$A$18,B17,0,ROWS(Personnel[]),1),0)+B17,999)&lt;ROWS(Personnel[]),IFERROR(MATCH("*",OFFSET(Budget!$A$18,B17,0,ROWS(Personnel[]),1),0)+B17,999),"")</f>
        <v/>
      </c>
      <c r="C18" s="165" t="str">
        <f ca="1">IFERROR(INDEX(Personnel[Category],B18),"")</f>
        <v/>
      </c>
      <c r="D18" s="165" t="str">
        <f ca="1">IFERROR(INDEX(Personnel[Organisation type],B18),"")</f>
        <v/>
      </c>
      <c r="E18" s="165" t="str">
        <f ca="1">IF(B18="","",IF(_xlfn.IFNA(MATCH("*Postdoc*",C18,0)&gt;0,FALSE),IF(AND(INDEX(Personnel[FTE],B18)&gt;=pers_PD_min_FTE,INDEX(Personnel[Months],B18)&gt;=pers_PD_min_months),TRUE,FALSE),TRUE))</f>
        <v/>
      </c>
      <c r="F18" s="257" t="str">
        <f t="shared" ca="1" si="0"/>
        <v/>
      </c>
      <c r="G18" s="110"/>
      <c r="H18" s="165" t="str" cm="1">
        <f t="array" aca="1" ref="H18" ca="1">IFERROR(_xlfn.IFNA(INDEX($B$11:$E$20,H17+MATCH("yes",OFFSET($F$11,H17,0,ROWS(Personnel[])-H17,1),0),1),""),"")</f>
        <v/>
      </c>
      <c r="I18" s="110" t="str">
        <f ca="1">IFERROR(INDEX(Personnel[Category],H18),"")</f>
        <v/>
      </c>
      <c r="J18" s="110" t="str">
        <f ca="1">IFERROR(INDEX(Personnel[FTE],H18),"")</f>
        <v/>
      </c>
      <c r="K18" s="110" t="str">
        <f ca="1">IFERROR(INDEX(Personnel[Months],H18),"")</f>
        <v/>
      </c>
      <c r="L18" s="110" t="str">
        <f ca="1">SUBSTITUTE(IFERROR(INDEX(Personnel[Organisation type],H18),""),0,"")</f>
        <v/>
      </c>
      <c r="M18" s="110" t="str">
        <f ca="1">SUBSTITUTE(IFERROR(INDEX(Personnel[Name organisation],H18),""),0,"")</f>
        <v/>
      </c>
      <c r="N18" s="110"/>
      <c r="O18" s="110"/>
      <c r="P18" s="270" t="str">
        <f>IF(ROW(E1098)-ROW($E$1091)&lt;ROWS(inkind[]),IFERROR(IF(INDEX(list_cofunders[private?],MATCH(Budget!F138,list_cofunders[list cofunders],0),1)="yes",Budget!H138,""),""),"")</f>
        <v/>
      </c>
      <c r="Q18" s="270" t="str">
        <f>IF(ROW(E1201)-ROW($E$1194)&lt;ROWS(incash[]),IFERROR(IF(INDEX(list_cofunders[private?],MATCH(Budget!F151,list_cofunders[list cofunders],0),1)="yes",Budget!H151,""),""),"")</f>
        <v/>
      </c>
      <c r="R18" s="110" t="str">
        <f>IFERROR(INDEX(Personnel[FTE],P18),"")</f>
        <v/>
      </c>
      <c r="S18" s="110"/>
      <c r="T18" s="165" t="str">
        <f ca="1">IF(IFERROR(MATCH(pers_int_listname,OFFSET(Budget!$F$18,T17,0,ROWS(Personnel[]),1),0)+T17,999)&lt;ROWS(Personnel[]),IFERROR(MATCH(pers_int_listname,OFFSET(Budget!$F$18,T17,0,ROWS(Personnel[]),1),0)+T17,999),"")</f>
        <v/>
      </c>
      <c r="U18" s="110" t="str">
        <f ca="1">IFERROR(INDEX(Personnel[Name organisation],T18),"")</f>
        <v/>
      </c>
      <c r="V18" s="270" t="str">
        <f ca="1">IFERROR(INDEX(Personnel[Amount],T18),"")</f>
        <v/>
      </c>
      <c r="W18" s="270" t="str">
        <f ca="1">IF(SUMIF(pers_abr_amount_org[Name org],pers_abr_amount_org[[#This Row],[Name org]],pers_abr_amount_org[Amount])&gt;0,SUMIF(pers_abr_amount_org[Name org],pers_abr_amount_org[[#This Row],[Name org]],pers_abr_amount_org[Amount]),"")</f>
        <v/>
      </c>
      <c r="X18" s="110"/>
      <c r="Y18" s="165"/>
      <c r="Z18" s="110"/>
      <c r="AA18" s="270"/>
      <c r="AB18" s="110"/>
      <c r="CN18" s="21"/>
      <c r="CO18" s="21"/>
      <c r="CP18" s="21"/>
      <c r="CQ18" s="21"/>
      <c r="CR18" s="21"/>
      <c r="CS18" s="21"/>
      <c r="CT18" s="21"/>
      <c r="CU18" s="21"/>
      <c r="CV18" s="21"/>
    </row>
    <row r="19" spans="1:112" s="20" customFormat="1" ht="11.25" customHeight="1" outlineLevel="1" x14ac:dyDescent="0.3">
      <c r="B19" s="84" t="str">
        <f ca="1">IF(IFERROR(MATCH("*",OFFSET(Budget!$A$18,B18,0,ROWS(Personnel[]),1),0)+B18,999)&lt;ROWS(Personnel[]),IFERROR(MATCH("*",OFFSET(Budget!$A$18,B18,0,ROWS(Personnel[]),1),0)+B18,999),"")</f>
        <v/>
      </c>
      <c r="C19" s="165" t="str">
        <f ca="1">IFERROR(INDEX(Personnel[Category],B19),"")</f>
        <v/>
      </c>
      <c r="D19" s="165" t="str">
        <f ca="1">IFERROR(INDEX(Personnel[Organisation type],B19),"")</f>
        <v/>
      </c>
      <c r="E19" s="165" t="str">
        <f ca="1">IF(B19="","",IF(_xlfn.IFNA(MATCH("*Postdoc*",C19,0)&gt;0,FALSE),IF(AND(INDEX(Personnel[FTE],B19)&gt;=pers_PD_min_FTE,INDEX(Personnel[Months],B19)&gt;=pers_PD_min_months),TRUE,FALSE),TRUE))</f>
        <v/>
      </c>
      <c r="F19" s="257" t="str">
        <f t="shared" ca="1" si="0"/>
        <v/>
      </c>
      <c r="G19" s="110"/>
      <c r="H19" s="165" t="str" cm="1">
        <f t="array" aca="1" ref="H19" ca="1">IFERROR(_xlfn.IFNA(INDEX($B$11:$E$20,H18+MATCH("yes",OFFSET($F$11,H18,0,ROWS(Personnel[])-H18,1),0),1),""),"")</f>
        <v/>
      </c>
      <c r="I19" s="110" t="str">
        <f ca="1">IFERROR(INDEX(Personnel[Category],H19),"")</f>
        <v/>
      </c>
      <c r="J19" s="110" t="str">
        <f ca="1">IFERROR(INDEX(Personnel[FTE],H19),"")</f>
        <v/>
      </c>
      <c r="K19" s="110" t="str">
        <f ca="1">IFERROR(INDEX(Personnel[Months],H19),"")</f>
        <v/>
      </c>
      <c r="L19" s="110" t="str">
        <f ca="1">SUBSTITUTE(IFERROR(INDEX(Personnel[Organisation type],H19),""),0,"")</f>
        <v/>
      </c>
      <c r="M19" s="110" t="str">
        <f ca="1">SUBSTITUTE(IFERROR(INDEX(Personnel[Name organisation],H19),""),0,"")</f>
        <v/>
      </c>
      <c r="N19" s="110"/>
      <c r="O19" s="110"/>
      <c r="P19" s="270" t="str">
        <f>IF(ROW(E1099)-ROW($E$1091)&lt;ROWS(inkind[]),IFERROR(IF(INDEX(list_cofunders[private?],MATCH(Budget!F139,list_cofunders[list cofunders],0),1)="yes",Budget!H139,""),""),"")</f>
        <v/>
      </c>
      <c r="Q19" s="270" t="str">
        <f>IF(ROW(E1202)-ROW($E$1194)&lt;ROWS(incash[]),IFERROR(IF(INDEX(list_cofunders[private?],MATCH(Budget!F152,list_cofunders[list cofunders],0),1)="yes",Budget!H152,""),""),"")</f>
        <v/>
      </c>
      <c r="R19" s="110" t="str">
        <f>IFERROR(INDEX(Personnel[FTE],P19),"")</f>
        <v/>
      </c>
      <c r="S19" s="110"/>
      <c r="T19" s="165" t="str">
        <f ca="1">IF(IFERROR(MATCH(pers_int_listname,OFFSET(Budget!$F$18,T18,0,ROWS(Personnel[]),1),0)+T18,999)&lt;ROWS(Personnel[]),IFERROR(MATCH(pers_int_listname,OFFSET(Budget!$F$18,T18,0,ROWS(Personnel[]),1),0)+T18,999),"")</f>
        <v/>
      </c>
      <c r="U19" s="110" t="str">
        <f ca="1">IFERROR(INDEX(Personnel[Name organisation],T19),"")</f>
        <v/>
      </c>
      <c r="V19" s="270" t="str">
        <f ca="1">IFERROR(INDEX(Personnel[Amount],T19),"")</f>
        <v/>
      </c>
      <c r="W19" s="270" t="str">
        <f ca="1">IF(SUMIF(pers_abr_amount_org[Name org],pers_abr_amount_org[[#This Row],[Name org]],pers_abr_amount_org[Amount])&gt;0,SUMIF(pers_abr_amount_org[Name org],pers_abr_amount_org[[#This Row],[Name org]],pers_abr_amount_org[Amount]),"")</f>
        <v/>
      </c>
      <c r="X19" s="110"/>
      <c r="Y19" s="165"/>
      <c r="Z19" s="110"/>
      <c r="AA19" s="270"/>
      <c r="AB19" s="110"/>
      <c r="CN19" s="21"/>
      <c r="CO19" s="21"/>
      <c r="CP19" s="21"/>
      <c r="CQ19" s="21"/>
      <c r="CR19" s="21"/>
      <c r="CS19" s="21"/>
      <c r="CT19" s="21"/>
      <c r="CU19" s="21"/>
      <c r="CV19" s="21"/>
    </row>
    <row r="20" spans="1:112" s="20" customFormat="1" ht="11.25" customHeight="1" outlineLevel="1" x14ac:dyDescent="0.3">
      <c r="B20" s="84" t="str">
        <f ca="1">IF(IFERROR(MATCH("*",OFFSET(Budget!$A$18,B19,0,ROWS(Personnel[]),1),0)+B19,999)&lt;ROWS(Personnel[]),IFERROR(MATCH("*",OFFSET(Budget!$A$18,B19,0,ROWS(Personnel[]),1),0)+B19,999),"")</f>
        <v/>
      </c>
      <c r="C20" s="165" t="str">
        <f ca="1">IFERROR(INDEX(Personnel[Category],B20),"")</f>
        <v/>
      </c>
      <c r="D20" s="165" t="str">
        <f ca="1">IFERROR(INDEX(Personnel[Organisation type],B20),"")</f>
        <v/>
      </c>
      <c r="E20" s="165" t="str">
        <f ca="1">IF(B20="","",IF(_xlfn.IFNA(MATCH("*Postdoc*",C20,0)&gt;0,FALSE),IF(AND(INDEX(Personnel[FTE],B20)&gt;=pers_PD_min_FTE,INDEX(Personnel[Months],B20)&gt;=pers_PD_min_months),TRUE,FALSE),TRUE))</f>
        <v/>
      </c>
      <c r="F20" s="257" t="str">
        <f t="shared" ca="1" si="0"/>
        <v/>
      </c>
      <c r="G20" s="110"/>
      <c r="H20" s="165" t="str" cm="1">
        <f t="array" aca="1" ref="H20" ca="1">IFERROR(_xlfn.IFNA(INDEX($B$11:$E$20,H19+MATCH("yes",OFFSET($F$11,H19,0,ROWS(Personnel[])-H19,1),0),1),""),"")</f>
        <v/>
      </c>
      <c r="I20" s="110" t="str">
        <f ca="1">IFERROR(INDEX(Personnel[Category],H20),"")</f>
        <v/>
      </c>
      <c r="J20" s="110" t="str">
        <f ca="1">IFERROR(INDEX(Personnel[FTE],H20),"")</f>
        <v/>
      </c>
      <c r="K20" s="110" t="str">
        <f ca="1">IFERROR(INDEX(Personnel[Months],H20),"")</f>
        <v/>
      </c>
      <c r="L20" s="110" t="str">
        <f ca="1">SUBSTITUTE(IFERROR(INDEX(Personnel[Organisation type],H20),""),0,"")</f>
        <v/>
      </c>
      <c r="M20" s="110" t="str">
        <f ca="1">SUBSTITUTE(IFERROR(INDEX(Personnel[Name organisation],H20),""),0,"")</f>
        <v/>
      </c>
      <c r="N20" s="110"/>
      <c r="O20" s="110"/>
      <c r="P20" s="270" t="str">
        <f>IF(ROW(E1100)-ROW($E$1091)&lt;ROWS(inkind[]),IFERROR(IF(INDEX(list_cofunders[private?],MATCH(Budget!F140,list_cofunders[list cofunders],0),1)="yes",Budget!H140,""),""),"")</f>
        <v/>
      </c>
      <c r="Q20" s="270" t="str">
        <f>IF(ROW(E1203)-ROW($E$1194)&lt;ROWS(incash[]),IFERROR(IF(INDEX(list_cofunders[private?],MATCH(Budget!F153,list_cofunders[list cofunders],0),1)="yes",Budget!H153,""),""),"")</f>
        <v/>
      </c>
      <c r="R20" s="110" t="str">
        <f>IFERROR(INDEX(Personnel[FTE],P20),"")</f>
        <v/>
      </c>
      <c r="S20" s="110"/>
      <c r="T20" s="165" t="str">
        <f ca="1">IF(IFERROR(MATCH(pers_int_listname,OFFSET(Budget!$F$18,T19,0,ROWS(Personnel[]),1),0)+T19,999)&lt;ROWS(Personnel[]),IFERROR(MATCH(pers_int_listname,OFFSET(Budget!$F$18,T19,0,ROWS(Personnel[]),1),0)+T19,999),"")</f>
        <v/>
      </c>
      <c r="U20" s="110" t="str">
        <f ca="1">IFERROR(INDEX(Personnel[Name organisation],T20),"")</f>
        <v/>
      </c>
      <c r="V20" s="270" t="str">
        <f ca="1">IFERROR(INDEX(Personnel[Amount],T20),"")</f>
        <v/>
      </c>
      <c r="W20" s="270" t="str">
        <f ca="1">IF(SUMIF(pers_abr_amount_org[Name org],pers_abr_amount_org[[#This Row],[Name org]],pers_abr_amount_org[Amount])&gt;0,SUMIF(pers_abr_amount_org[Name org],pers_abr_amount_org[[#This Row],[Name org]],pers_abr_amount_org[Amount]),"")</f>
        <v/>
      </c>
      <c r="X20" s="110"/>
      <c r="Y20" s="165"/>
      <c r="Z20" s="110"/>
      <c r="AA20" s="270"/>
      <c r="AB20" s="110"/>
      <c r="CN20" s="21"/>
      <c r="CO20" s="21"/>
      <c r="CP20" s="21"/>
      <c r="CQ20" s="21"/>
      <c r="CR20" s="21"/>
      <c r="CS20" s="21"/>
      <c r="CT20" s="21"/>
      <c r="CU20" s="21"/>
      <c r="CV20" s="21"/>
    </row>
    <row r="21" spans="1:112" s="20" customFormat="1" ht="11.25" customHeight="1" x14ac:dyDescent="0.3">
      <c r="B21" s="115" t="s">
        <v>168</v>
      </c>
      <c r="C21" s="304">
        <f ca="1">SUM(E11:E20)</f>
        <v>0</v>
      </c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25" t="s">
        <v>172</v>
      </c>
      <c r="P21" s="270">
        <f>SUM(P11:P20)</f>
        <v>0</v>
      </c>
      <c r="Q21" s="270">
        <f>SUM(Q11:Q20)</f>
        <v>0</v>
      </c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CS21" s="21"/>
      <c r="CT21" s="21"/>
      <c r="CU21" s="21"/>
      <c r="CV21" s="21"/>
      <c r="CW21" s="21"/>
      <c r="CX21" s="21"/>
      <c r="CY21" s="21"/>
      <c r="CZ21" s="21"/>
      <c r="DA21" s="21"/>
    </row>
    <row r="22" spans="1:112" s="20" customFormat="1" ht="11.25" customHeight="1" x14ac:dyDescent="0.3"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25" t="s">
        <v>556</v>
      </c>
      <c r="Q22" s="126">
        <f>P21+Q21</f>
        <v>0</v>
      </c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CR22" s="21"/>
      <c r="CS22" s="21"/>
      <c r="CT22" s="21"/>
      <c r="CU22" s="21"/>
      <c r="CV22" s="21"/>
      <c r="CW22" s="21"/>
      <c r="CX22" s="21"/>
      <c r="CY22" s="21"/>
      <c r="CZ22" s="21"/>
    </row>
    <row r="23" spans="1:112" s="20" customFormat="1" ht="11.25" customHeight="1" x14ac:dyDescent="0.3">
      <c r="A23" s="58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CW23" s="21"/>
      <c r="CX23" s="21"/>
      <c r="CY23" s="21"/>
      <c r="CZ23" s="21"/>
      <c r="DA23" s="21"/>
      <c r="DB23" s="21"/>
      <c r="DC23" s="21"/>
      <c r="DD23" s="21"/>
      <c r="DE23" s="21"/>
    </row>
    <row r="24" spans="1:112" s="20" customFormat="1" ht="11.25" customHeight="1" x14ac:dyDescent="0.3">
      <c r="A24" s="58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CZ24" s="21"/>
      <c r="DA24" s="21"/>
      <c r="DB24" s="21"/>
      <c r="DC24" s="21"/>
      <c r="DD24" s="21"/>
      <c r="DE24" s="21"/>
      <c r="DF24" s="21"/>
      <c r="DG24" s="21"/>
      <c r="DH24" s="21"/>
    </row>
    <row r="25" spans="1:112" s="20" customFormat="1" ht="15" customHeight="1" x14ac:dyDescent="0.3">
      <c r="A25" s="58" t="s">
        <v>543</v>
      </c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CZ25" s="21"/>
      <c r="DA25" s="21"/>
      <c r="DB25" s="21"/>
      <c r="DC25" s="21"/>
      <c r="DD25" s="21"/>
      <c r="DE25" s="21"/>
      <c r="DF25" s="21"/>
      <c r="DG25" s="21"/>
      <c r="DH25" s="21"/>
    </row>
    <row r="26" spans="1:112" outlineLevel="1" x14ac:dyDescent="0.3">
      <c r="A26" s="115" t="s">
        <v>525</v>
      </c>
      <c r="B26" s="115" t="s">
        <v>526</v>
      </c>
      <c r="C26" s="115" t="s">
        <v>598</v>
      </c>
    </row>
    <row r="27" spans="1:112" outlineLevel="1" x14ac:dyDescent="0.3">
      <c r="A27" s="127" t="s">
        <v>618</v>
      </c>
      <c r="B27" s="127" t="s">
        <v>619</v>
      </c>
      <c r="C27" s="247"/>
    </row>
    <row r="28" spans="1:112" outlineLevel="1" x14ac:dyDescent="0.3">
      <c r="A28" s="127" t="s">
        <v>617</v>
      </c>
      <c r="B28" s="127" t="s">
        <v>620</v>
      </c>
      <c r="C28" s="247"/>
    </row>
    <row r="29" spans="1:112" outlineLevel="1" x14ac:dyDescent="0.3">
      <c r="A29" s="127" t="s">
        <v>544</v>
      </c>
      <c r="B29" s="127" t="s">
        <v>545</v>
      </c>
      <c r="C29" s="127"/>
    </row>
    <row r="30" spans="1:112" outlineLevel="1" x14ac:dyDescent="0.3">
      <c r="A30" s="127" t="s">
        <v>621</v>
      </c>
      <c r="B30" s="127" t="s">
        <v>624</v>
      </c>
      <c r="C30" s="127"/>
    </row>
    <row r="31" spans="1:112" outlineLevel="1" x14ac:dyDescent="0.3">
      <c r="A31" s="127" t="s">
        <v>622</v>
      </c>
      <c r="B31" s="127" t="s">
        <v>625</v>
      </c>
      <c r="C31" s="127"/>
    </row>
    <row r="32" spans="1:112" outlineLevel="1" x14ac:dyDescent="0.3">
      <c r="A32" s="127" t="s">
        <v>546</v>
      </c>
      <c r="B32" s="127" t="s">
        <v>547</v>
      </c>
      <c r="C32" s="127"/>
    </row>
    <row r="33" spans="1:3" ht="36.75" customHeight="1" outlineLevel="1" x14ac:dyDescent="0.3">
      <c r="A33" s="127" t="s">
        <v>549</v>
      </c>
      <c r="B33" s="127" t="str">
        <f>"Total NWO funding may not exceed "&amp;TEXT(Max_NWO_funding,"€ #.#") &amp; "."</f>
        <v>Total NWO funding may not exceed € 1.500.000.</v>
      </c>
      <c r="C33" s="127"/>
    </row>
    <row r="34" spans="1:3" ht="36.75" customHeight="1" outlineLevel="1" x14ac:dyDescent="0.3">
      <c r="A34" s="127" t="s">
        <v>627</v>
      </c>
      <c r="B34" s="127" t="str">
        <f>IF(empty_lines="no","Please do not leave empty lines in between budget posts.","")</f>
        <v>Please do not leave empty lines in between budget posts.</v>
      </c>
      <c r="C34" s="127"/>
    </row>
    <row r="35" spans="1:3" ht="28.8" outlineLevel="1" x14ac:dyDescent="0.3">
      <c r="A35" s="127" t="s">
        <v>527</v>
      </c>
      <c r="B35" s="127" t="s">
        <v>528</v>
      </c>
      <c r="C35" s="127"/>
    </row>
    <row r="36" spans="1:3" ht="28.8" outlineLevel="1" x14ac:dyDescent="0.3">
      <c r="A36" s="127" t="s">
        <v>696</v>
      </c>
      <c r="B36" s="127" t="str">
        <f>"(Equivalent) PhD duration less than minimal "&amp;TEXT(pers_PhD_min_months,"#")&amp;" fulltime months."</f>
        <v>(Equivalent) PhD duration less than minimal 48 fulltime months.</v>
      </c>
      <c r="C36" s="127"/>
    </row>
    <row r="37" spans="1:3" ht="28.8" outlineLevel="1" x14ac:dyDescent="0.3">
      <c r="A37" s="127" t="s">
        <v>697</v>
      </c>
      <c r="B37" s="127" t="str">
        <f>"(Equivalent) PhD duration more than maximum "&amp;TEXT(pers_PhD_max_months,"#")&amp;" fulltime months."</f>
        <v>(Equivalent) PhD duration more than maximum 48 fulltime months.</v>
      </c>
      <c r="C37" s="127"/>
    </row>
    <row r="38" spans="1:3" ht="43.2" outlineLevel="1" x14ac:dyDescent="0.3">
      <c r="A38" s="127" t="s">
        <v>698</v>
      </c>
      <c r="B38" s="127" t="s">
        <v>674</v>
      </c>
      <c r="C38" s="127"/>
    </row>
    <row r="39" spans="1:3" ht="28.8" outlineLevel="1" x14ac:dyDescent="0.3">
      <c r="A39" s="127" t="s">
        <v>699</v>
      </c>
      <c r="B39" s="127" t="str">
        <f>"EngD duration exceeds maximum of equivalent of "&amp;TEXT(pers_PDEng_max_months,"#")&amp;" fulltime months."</f>
        <v>EngD duration exceeds maximum of equivalent of 24 fulltime months.</v>
      </c>
      <c r="C39" s="127"/>
    </row>
    <row r="40" spans="1:3" ht="43.2" outlineLevel="1" x14ac:dyDescent="0.3">
      <c r="A40" s="127" t="s">
        <v>700</v>
      </c>
      <c r="B40" s="127" t="str">
        <f>"PD duration less than minimum of "&amp;TEXT(pers_PD_min_months,"#")&amp;" months, no benchfee can be requested."</f>
        <v>PD duration less than minimum of 12 months, no benchfee can be requested.</v>
      </c>
      <c r="C40" s="127"/>
    </row>
    <row r="41" spans="1:3" ht="37.5" customHeight="1" outlineLevel="1" x14ac:dyDescent="0.3">
      <c r="A41" s="127" t="s">
        <v>701</v>
      </c>
      <c r="B41" s="127" t="str">
        <f>"PD appointments is less than minimum of "&amp;TEXT(pers_PD_min_FTE,"0,00")&amp;" FTE, no benchfee can be requested."</f>
        <v>PD appointments is less than minimum of 0,50 FTE, no benchfee can be requested.</v>
      </c>
      <c r="C41" s="127"/>
    </row>
    <row r="42" spans="1:3" ht="28.8" outlineLevel="1" x14ac:dyDescent="0.3">
      <c r="A42" s="127" t="s">
        <v>702</v>
      </c>
      <c r="B42" s="127" t="str">
        <f>"PD duration exceeds maximal equivalent of "&amp;TEXT(pers_PD_max_months,"#")&amp;" fulltime months."</f>
        <v>PD duration exceeds maximal equivalent of 60 fulltime months.</v>
      </c>
      <c r="C42" s="127"/>
    </row>
    <row r="43" spans="1:3" ht="43.2" outlineLevel="1" x14ac:dyDescent="0.3">
      <c r="A43" s="127" t="s">
        <v>705</v>
      </c>
      <c r="B43" s="127" t="str">
        <f>"Physician researcher duration less than minimum (equivalent) of " &amp; pers_phy_res_min_months &amp;" fulltime months."</f>
        <v>Physician researcher duration less than minimum (equivalent) of 36 fulltime months.</v>
      </c>
      <c r="C43" s="127"/>
    </row>
    <row r="44" spans="1:3" ht="43.2" outlineLevel="1" x14ac:dyDescent="0.3">
      <c r="A44" s="127" t="s">
        <v>706</v>
      </c>
      <c r="B44" s="127" t="str">
        <f>"Physician researcher duration exceeds maximum (equivalent) of " &amp; pers_phy_res_max_months &amp; " fulltime months."</f>
        <v>Physician researcher duration exceeds maximum (equivalent) of 48 fulltime months.</v>
      </c>
      <c r="C44" s="127"/>
    </row>
    <row r="45" spans="1:3" outlineLevel="1" x14ac:dyDescent="0.3">
      <c r="A45" s="127" t="s">
        <v>613</v>
      </c>
      <c r="B45" s="127" t="s">
        <v>614</v>
      </c>
      <c r="C45" s="127"/>
    </row>
    <row r="46" spans="1:3" ht="28.8" outlineLevel="1" x14ac:dyDescent="0.3">
      <c r="A46" s="127" t="s">
        <v>595</v>
      </c>
      <c r="B46" s="127" t="s">
        <v>596</v>
      </c>
      <c r="C46" s="127"/>
    </row>
    <row r="47" spans="1:3" ht="43.2" outlineLevel="1" x14ac:dyDescent="0.3">
      <c r="A47" s="127" t="s">
        <v>536</v>
      </c>
      <c r="B47" s="127" t="s">
        <v>757</v>
      </c>
      <c r="C47" s="127"/>
    </row>
    <row r="48" spans="1:3" ht="32.25" customHeight="1" outlineLevel="1" x14ac:dyDescent="0.3">
      <c r="A48" s="127" t="s">
        <v>758</v>
      </c>
      <c r="B48" s="127" t="s">
        <v>759</v>
      </c>
      <c r="C48" s="127"/>
    </row>
    <row r="49" spans="1:5" ht="32.25" customHeight="1" outlineLevel="1" x14ac:dyDescent="0.3">
      <c r="A49" s="127" t="s">
        <v>688</v>
      </c>
      <c r="B49" s="127" t="s">
        <v>689</v>
      </c>
      <c r="C49" s="127"/>
    </row>
    <row r="50" spans="1:5" ht="49.2" customHeight="1" outlineLevel="1" x14ac:dyDescent="0.3">
      <c r="A50" s="127" t="s">
        <v>616</v>
      </c>
      <c r="B50" s="127" t="str">
        <f>"Total requested amount of investments may not exceed "&amp;TEXT(inv_max_total_amount,"€ #.#0")&amp;"."</f>
        <v>Total requested amount of investments may not exceed € 500.000.</v>
      </c>
      <c r="C50" s="127"/>
    </row>
    <row r="51" spans="1:5" ht="31.5" customHeight="1" outlineLevel="1" x14ac:dyDescent="0.3">
      <c r="A51" s="127" t="s">
        <v>692</v>
      </c>
      <c r="B51" s="127" t="str">
        <f>"Total amount of KU exceeds limit of "&amp;TEXT(KU_maxperc,"#0%")&amp;" of the amount requested from NWO."</f>
        <v>Total amount of KU exceeds limit of 5% of the amount requested from NWO.</v>
      </c>
      <c r="C51" s="127"/>
    </row>
    <row r="52" spans="1:5" ht="31.5" customHeight="1" outlineLevel="1" x14ac:dyDescent="0.3">
      <c r="A52" s="127" t="s">
        <v>695</v>
      </c>
      <c r="B52" s="127" t="s">
        <v>689</v>
      </c>
      <c r="C52" s="127"/>
    </row>
    <row r="53" spans="1:5" ht="28.8" outlineLevel="1" x14ac:dyDescent="0.3">
      <c r="A53" s="127" t="s">
        <v>632</v>
      </c>
      <c r="B53" s="127" t="str">
        <f>IF(cofunding_inkind_def_rates="yes","Type of in-kind co-funding not specified.","")</f>
        <v>Type of in-kind co-funding not specified.</v>
      </c>
      <c r="C53" s="127"/>
    </row>
    <row r="54" spans="1:5" ht="28.8" outlineLevel="1" x14ac:dyDescent="0.3">
      <c r="A54" s="127" t="s">
        <v>589</v>
      </c>
      <c r="B54" s="127" t="str">
        <f>IF(cofunding_inkind_def_rates="yes","Hourly rates exceeds maximum rate of "&amp;TEXT(cofunding_max_rate,"€ #.#")&amp;".","")</f>
        <v>Hourly rates exceeds maximum rate of € 173.</v>
      </c>
      <c r="C54" s="127"/>
    </row>
    <row r="55" spans="1:5" ht="28.8" outlineLevel="1" x14ac:dyDescent="0.3">
      <c r="A55" s="127" t="s">
        <v>537</v>
      </c>
      <c r="B55" s="127" t="str">
        <f>"Total co-funding exceeds limit of "&amp;TEXT(cofunding_max_perc,"#%")&amp;" of the total project budget."</f>
        <v>Total co-funding exceeds limit of 49% of the total project budget.</v>
      </c>
      <c r="C55" s="127"/>
    </row>
    <row r="56" spans="1:5" x14ac:dyDescent="0.3">
      <c r="A56" s="127"/>
      <c r="B56" s="127"/>
    </row>
    <row r="57" spans="1:5" x14ac:dyDescent="0.3">
      <c r="A57" s="127"/>
      <c r="B57" s="127"/>
    </row>
    <row r="58" spans="1:5" x14ac:dyDescent="0.3">
      <c r="A58" s="127"/>
      <c r="B58" s="127"/>
    </row>
    <row r="59" spans="1:5" ht="18" x14ac:dyDescent="0.3">
      <c r="A59" s="128" t="s">
        <v>623</v>
      </c>
      <c r="B59" s="127"/>
    </row>
    <row r="60" spans="1:5" x14ac:dyDescent="0.3">
      <c r="A60"/>
      <c r="B60"/>
      <c r="C60"/>
      <c r="D60"/>
      <c r="E60"/>
    </row>
    <row r="61" spans="1:5" x14ac:dyDescent="0.3">
      <c r="A61"/>
      <c r="B61"/>
      <c r="C61"/>
      <c r="D61"/>
      <c r="E61"/>
    </row>
    <row r="62" spans="1:5" x14ac:dyDescent="0.3">
      <c r="A62" s="127"/>
      <c r="B62" s="127"/>
    </row>
    <row r="63" spans="1:5" x14ac:dyDescent="0.3">
      <c r="A63" s="127"/>
      <c r="B63" s="127"/>
    </row>
    <row r="64" spans="1:5" x14ac:dyDescent="0.3">
      <c r="A64" s="127"/>
      <c r="B64" s="127"/>
    </row>
    <row r="65" spans="1:16" x14ac:dyDescent="0.3">
      <c r="A65" s="127"/>
      <c r="B65" s="127"/>
    </row>
    <row r="66" spans="1:16" x14ac:dyDescent="0.3">
      <c r="A66" s="127"/>
      <c r="B66" s="127"/>
    </row>
    <row r="67" spans="1:16" x14ac:dyDescent="0.3">
      <c r="A67" s="127"/>
      <c r="B67" s="127"/>
    </row>
    <row r="68" spans="1:16" ht="18" x14ac:dyDescent="0.3">
      <c r="A68" s="128" t="s">
        <v>534</v>
      </c>
      <c r="B68" s="127"/>
    </row>
    <row r="70" spans="1:16" outlineLevel="1" x14ac:dyDescent="0.3">
      <c r="A70" s="110" t="s">
        <v>530</v>
      </c>
      <c r="B70" s="110" t="s">
        <v>533</v>
      </c>
      <c r="C70" s="110" t="s">
        <v>529</v>
      </c>
      <c r="D70" s="110" t="s">
        <v>626</v>
      </c>
      <c r="E70" s="110" t="s">
        <v>607</v>
      </c>
      <c r="F70" s="110" t="s">
        <v>638</v>
      </c>
      <c r="G70" s="110" t="s">
        <v>639</v>
      </c>
      <c r="H70" s="110" t="s">
        <v>676</v>
      </c>
      <c r="I70" s="110" t="s">
        <v>675</v>
      </c>
      <c r="J70" s="110" t="s">
        <v>531</v>
      </c>
      <c r="K70" s="110" t="s">
        <v>652</v>
      </c>
      <c r="L70" s="110" t="s">
        <v>532</v>
      </c>
      <c r="M70" s="110" t="s">
        <v>715</v>
      </c>
      <c r="N70" s="110" t="s">
        <v>716</v>
      </c>
      <c r="O70" s="110" t="s">
        <v>615</v>
      </c>
      <c r="P70" s="110" t="s">
        <v>594</v>
      </c>
    </row>
    <row r="71" spans="1:16" outlineLevel="1" x14ac:dyDescent="0.3">
      <c r="A71" s="110">
        <v>1</v>
      </c>
      <c r="B71" s="110" t="str" cm="1">
        <f t="array" ref="B71">IFERROR(INDEX(personnel_ac_notes[[#This Row],[Exceeding nr months]:[Costs specified]],1,MATCH(TRUE,LEN(personnel_ac_notes[[#This Row],[Exceeding nr months]:[Costs specified]])&gt;0,0)),"")</f>
        <v/>
      </c>
      <c r="C71" s="110" t="str">
        <f>IFERROR(IF(INDEX(Personnel[Months],A71)&gt;Max_project_duration,$B$35,""),"")</f>
        <v/>
      </c>
      <c r="D71" s="110" t="str">
        <f>IFERROR(IF(AND(LEN(INDEX(Personnel[Category],A71))+LEN(INDEX(Personnel[FTE],A71))+LEN(INDEX(Personnel[Months],A71))&gt;0,LEN(INDEX(Personnel[Category],A71-1))+LEN(INDEX(Personnel[FTE],A71-1))+LEN(INDEX(Personnel[Months],A71-1))=0),$B$34,""),"")</f>
        <v/>
      </c>
      <c r="E71" s="110" t="str">
        <f>IF(AND(NOT(ISBLANK(INDEX(Personnel[Category],A71))),OR(ISBLANK(INDEX(Personnel[FTE],A71)),ISBLANK(INDEX(Personnel[Months],A71)))),VLOOKUP(INDEX(Personnel[Category],A71),salaries_academic[],2,FALSE),"")</f>
        <v/>
      </c>
      <c r="F71" s="110" t="str">
        <f>IFERROR(IF(COUNTIF(INDEX(Personnel[Category],A71),"*- PhD*")&gt;0,IF(INDEX(Personnel[Months],A71)*INDEX(Personnel[FTE],A71)&lt;pers_PhD_min_months,$B$36,""),""),"")</f>
        <v/>
      </c>
      <c r="G71" s="110" t="str">
        <f>IFERROR(IF(COUNTIF(INDEX(Personnel[Category],$A71),"*- PhD*")&gt;0,IF(INDEX(Personnel[Months],$A71)*INDEX(Personnel[FTE],$A71)&gt;pers_PhD_max_months,$B$37,""),""),"")</f>
        <v/>
      </c>
      <c r="H71" s="110" t="str">
        <f>IFERROR(IF(COUNTIF(INDEX(Personnel[Category],A71),"*EngD*")&gt;0,IF(OR(IFERROR(MATCH("*PhD*",Personnel[Category],0),0)&gt;0,IFERROR(MATCH("*PostDoc*",Personnel[Category],0),0)&gt;0),"",$B$38),""),"")</f>
        <v/>
      </c>
      <c r="I71" s="110" t="str">
        <f>IFERROR(IF(COUNTIF(INDEX(Personnel[Category],A71),"*EngD*")&gt;0,IF(INDEX(Personnel[Months],A71)*INDEX(Personnel[FTE],A71)&gt;pers_PDEng_max_months,$B$39,""),""),"")</f>
        <v/>
      </c>
      <c r="J71" s="110" t="str">
        <f>IFERROR(IF(COUNTIF(INDEX(Personnel[Category],A71),"*PostDoc*")&gt;0,IF(INDEX(Personnel[Months],A71)&lt;pers_PD_min_months,$B$40,""),""),"")</f>
        <v/>
      </c>
      <c r="K71" s="110" t="str">
        <f>IFERROR(IF(COUNTIF(INDEX(Personnel[Category],A71),"*PostDoc*")&gt;0,IF(INDEX(Personnel[FTE],A71)&lt;pers_PD_min_FTE,$B$41,""),""),"")</f>
        <v/>
      </c>
      <c r="L71" s="110" t="str">
        <f>IFERROR(IF(COUNTIF(INDEX(Personnel[Category],A71),"*PostDoc*")&gt;0,IF(INDEX(Personnel[Months],A71)*INDEX(Personnel[FTE],A71)&gt;pers_PD_max_months,$B$42,""),""),"")</f>
        <v/>
      </c>
      <c r="M71" s="110" t="str">
        <f>IFERROR(IF(COUNTIF(INDEX(Personnel[Category],A71),"*hysici*")&gt;0,IF(INDEX(Personnel[Months],A71)*INDEX(Personnel[FTE],A71)&lt;pers_phy_res_min_months,$B$43,""),""),"")</f>
        <v/>
      </c>
      <c r="N71" s="110" t="str">
        <f>IFERROR(IF(COUNTIF(INDEX(Personnel[Category],A71),"*hysici*")&gt;0,IF(INDEX(Personnel[Months],A71)*INDEX(Personnel[FTE],A71)&gt;pers_phy_res_max_months,$B$44,""),""),"")</f>
        <v/>
      </c>
      <c r="O71" s="110" t="str">
        <f>IFERROR(IF(AND(INDEX(Personnel[Costs],A71)=0,INDEX(salaries_academic[[category]:[1]],MATCH(INDEX(Personnel[Category],A71),salaries_academic[category],0),3)=0),$B$45,""),"")</f>
        <v/>
      </c>
      <c r="P71" s="110" t="str">
        <f>IFERROR(IF(AND(INDEX(Personnel[Costs],A71)&gt;0,NOT(INDEX(Personnel[Category],A71)=parameters!$A$84)),$B$46,""),"")</f>
        <v/>
      </c>
    </row>
    <row r="72" spans="1:16" outlineLevel="1" x14ac:dyDescent="0.3">
      <c r="A72" s="110">
        <v>2</v>
      </c>
      <c r="B72" s="110" t="str" cm="1">
        <f t="array" ref="B72">IFERROR(INDEX(personnel_ac_notes[[#This Row],[Exceeding nr months]:[Costs specified]],1,MATCH(TRUE,LEN(personnel_ac_notes[[#This Row],[Exceeding nr months]:[Costs specified]])&gt;0,0)),"")</f>
        <v/>
      </c>
      <c r="C72" s="110" t="str">
        <f>IFERROR(IF(INDEX(Personnel[Months],A72)&gt;Max_project_duration,$B$35,""),"")</f>
        <v/>
      </c>
      <c r="D72" s="110" t="str">
        <f>IFERROR(IF(AND(LEN(INDEX(Personnel[Category],A72))+LEN(INDEX(Personnel[FTE],A72))+LEN(INDEX(Personnel[Months],A72))&gt;0,LEN(INDEX(Personnel[Category],A72-1))+LEN(INDEX(Personnel[FTE],A72-1))+LEN(INDEX(Personnel[Months],A72-1))=0),$B$34,""),"")</f>
        <v/>
      </c>
      <c r="E72" s="110" t="str">
        <f>IF(AND(NOT(ISBLANK(INDEX(Personnel[Category],A72))),OR(ISBLANK(INDEX(Personnel[FTE],A72)),ISBLANK(INDEX(Personnel[Months],A72)))),VLOOKUP(INDEX(Personnel[Category],A72),salaries_academic[],2,FALSE),"")</f>
        <v/>
      </c>
      <c r="F72" s="110" t="str">
        <f>IFERROR(IF(COUNTIF(INDEX(Personnel[Category],A72),"*- PhD*")&gt;0,IF(INDEX(Personnel[Months],A72)*INDEX(Personnel[FTE],A72)&lt;pers_PhD_min_months,$B$36,""),""),"")</f>
        <v/>
      </c>
      <c r="G72" s="110" t="str">
        <f>IFERROR(IF(COUNTIF(INDEX(Personnel[Category],$A72),"*- PhD*")&gt;0,IF(INDEX(Personnel[Months],$A72)*INDEX(Personnel[FTE],$A72)&gt;pers_PhD_max_months,$B$37,""),""),"")</f>
        <v/>
      </c>
      <c r="H72" s="110" t="str">
        <f>IFERROR(IF(COUNTIF(INDEX(Personnel[Category],A72),"*EngD*")&gt;0,IF(OR(IFERROR(MATCH("*PhD*",Personnel[Category],0),0)&gt;0,IFERROR(MATCH("*PostDoc*",Personnel[Category],0),0)&gt;0),"",$B$38),""),"")</f>
        <v/>
      </c>
      <c r="I72" s="110" t="str">
        <f>IFERROR(IF(COUNTIF(INDEX(Personnel[Category],A72),"*EngD*")&gt;0,IF(INDEX(Personnel[Months],A72)*INDEX(Personnel[FTE],A72)&gt;pers_PDEng_max_months,$B$39,""),""),"")</f>
        <v/>
      </c>
      <c r="J72" s="110" t="str">
        <f>IFERROR(IF(COUNTIF(INDEX(Personnel[Category],A72),"*PostDoc*")&gt;0,IF(INDEX(Personnel[Months],A72)&lt;pers_PD_min_months,$B$40,""),""),"")</f>
        <v/>
      </c>
      <c r="K72" s="110" t="str">
        <f>IFERROR(IF(COUNTIF(INDEX(Personnel[Category],A72),"*PostDoc*")&gt;0,IF(INDEX(Personnel[FTE],A72)&lt;pers_PD_min_FTE,$B$41,""),""),"")</f>
        <v/>
      </c>
      <c r="L72" s="110" t="str">
        <f>IFERROR(IF(COUNTIF(INDEX(Personnel[Category],A72),"*PostDoc*")&gt;0,IF(INDEX(Personnel[Months],A72)*INDEX(Personnel[FTE],A72)&gt;pers_PD_max_months,$B$42,""),""),"")</f>
        <v/>
      </c>
      <c r="M72" s="110" t="str">
        <f>IFERROR(IF(COUNTIF(INDEX(Personnel[Category],A72),"*hysici*")&gt;0,IF(INDEX(Personnel[Months],A72)*INDEX(Personnel[FTE],A72)&lt;pers_phy_res_min_months,$B$43,""),""),"")</f>
        <v/>
      </c>
      <c r="N72" s="110" t="str">
        <f>IFERROR(IF(COUNTIF(INDEX(Personnel[Category],A72),"*hysici*")&gt;0,IF(INDEX(Personnel[Months],A72)*INDEX(Personnel[FTE],A72)&gt;pers_phy_res_max_months,$B$44,""),""),"")</f>
        <v/>
      </c>
      <c r="O72" s="110" t="str">
        <f>IFERROR(IF(AND(INDEX(Personnel[Costs],A72)=0,INDEX(salaries_academic[[category]:[1]],MATCH(INDEX(Personnel[Category],A72),salaries_academic[category],0),3)=0),$B$45,""),"")</f>
        <v/>
      </c>
      <c r="P72" s="110" t="str">
        <f>IFERROR(IF(AND(INDEX(Personnel[Costs],A72)&gt;0,NOT(INDEX(Personnel[Category],A72)=parameters!$A$84)),$B$46,""),"")</f>
        <v/>
      </c>
    </row>
    <row r="73" spans="1:16" outlineLevel="1" x14ac:dyDescent="0.3">
      <c r="A73" s="110">
        <v>3</v>
      </c>
      <c r="B73" s="110" t="str" cm="1">
        <f t="array" ref="B73">IFERROR(INDEX(personnel_ac_notes[[#This Row],[Exceeding nr months]:[Costs specified]],1,MATCH(TRUE,LEN(personnel_ac_notes[[#This Row],[Exceeding nr months]:[Costs specified]])&gt;0,0)),"")</f>
        <v/>
      </c>
      <c r="C73" s="110" t="str">
        <f>IFERROR(IF(INDEX(Personnel[Months],A73)&gt;Max_project_duration,$B$35,""),"")</f>
        <v/>
      </c>
      <c r="D73" s="110" t="str">
        <f>IFERROR(IF(AND(LEN(INDEX(Personnel[Category],A73))+LEN(INDEX(Personnel[FTE],A73))+LEN(INDEX(Personnel[Months],A73))&gt;0,LEN(INDEX(Personnel[Category],A73-1))+LEN(INDEX(Personnel[FTE],A73-1))+LEN(INDEX(Personnel[Months],A73-1))=0),$B$34,""),"")</f>
        <v/>
      </c>
      <c r="E73" s="110" t="str">
        <f>IF(AND(NOT(ISBLANK(INDEX(Personnel[Category],A73))),OR(ISBLANK(INDEX(Personnel[FTE],A73)),ISBLANK(INDEX(Personnel[Months],A73)))),VLOOKUP(INDEX(Personnel[Category],A73),salaries_academic[],2,FALSE),"")</f>
        <v/>
      </c>
      <c r="F73" s="110" t="str">
        <f>IFERROR(IF(COUNTIF(INDEX(Personnel[Category],A73),"*- PhD*")&gt;0,IF(INDEX(Personnel[Months],A73)*INDEX(Personnel[FTE],A73)&lt;pers_PhD_min_months,$B$36,""),""),"")</f>
        <v/>
      </c>
      <c r="G73" s="110" t="str">
        <f>IFERROR(IF(COUNTIF(INDEX(Personnel[Category],$A73),"*- PhD*")&gt;0,IF(INDEX(Personnel[Months],$A73)*INDEX(Personnel[FTE],$A73)&gt;pers_PhD_max_months,$B$37,""),""),"")</f>
        <v/>
      </c>
      <c r="H73" s="110" t="str">
        <f>IFERROR(IF(COUNTIF(INDEX(Personnel[Category],A73),"*EngD*")&gt;0,IF(OR(IFERROR(MATCH("*PhD*",Personnel[Category],0),0)&gt;0,IFERROR(MATCH("*PostDoc*",Personnel[Category],0),0)&gt;0),"",$B$38),""),"")</f>
        <v/>
      </c>
      <c r="I73" s="110" t="str">
        <f>IFERROR(IF(COUNTIF(INDEX(Personnel[Category],A73),"*EngD*")&gt;0,IF(INDEX(Personnel[Months],A73)*INDEX(Personnel[FTE],A73)&gt;pers_PDEng_max_months,$B$39,""),""),"")</f>
        <v/>
      </c>
      <c r="J73" s="110" t="str">
        <f>IFERROR(IF(COUNTIF(INDEX(Personnel[Category],A73),"*PostDoc*")&gt;0,IF(INDEX(Personnel[Months],A73)&lt;pers_PD_min_months,$B$40,""),""),"")</f>
        <v/>
      </c>
      <c r="K73" s="110" t="str">
        <f>IFERROR(IF(COUNTIF(INDEX(Personnel[Category],A73),"*PostDoc*")&gt;0,IF(INDEX(Personnel[FTE],A73)&lt;pers_PD_min_FTE,$B$41,""),""),"")</f>
        <v/>
      </c>
      <c r="L73" s="110" t="str">
        <f>IFERROR(IF(COUNTIF(INDEX(Personnel[Category],A73),"*PostDoc*")&gt;0,IF(INDEX(Personnel[Months],A73)*INDEX(Personnel[FTE],A73)&gt;pers_PD_max_months,$B$42,""),""),"")</f>
        <v/>
      </c>
      <c r="M73" s="110" t="str">
        <f>IFERROR(IF(COUNTIF(INDEX(Personnel[Category],A73),"*hysici*")&gt;0,IF(INDEX(Personnel[Months],A73)*INDEX(Personnel[FTE],A73)&lt;pers_phy_res_min_months,$B$43,""),""),"")</f>
        <v/>
      </c>
      <c r="N73" s="110" t="str">
        <f>IFERROR(IF(COUNTIF(INDEX(Personnel[Category],A73),"*hysici*")&gt;0,IF(INDEX(Personnel[Months],A73)*INDEX(Personnel[FTE],A73)&gt;pers_phy_res_max_months,$B$44,""),""),"")</f>
        <v/>
      </c>
      <c r="O73" s="110" t="str">
        <f>IFERROR(IF(AND(INDEX(Personnel[Costs],A73)=0,INDEX(salaries_academic[[category]:[1]],MATCH(INDEX(Personnel[Category],A73),salaries_academic[category],0),3)=0),$B$45,""),"")</f>
        <v/>
      </c>
      <c r="P73" s="110" t="str">
        <f>IFERROR(IF(AND(INDEX(Personnel[Costs],A73)&gt;0,NOT(INDEX(Personnel[Category],A73)=parameters!$A$84)),$B$46,""),"")</f>
        <v/>
      </c>
    </row>
    <row r="74" spans="1:16" outlineLevel="1" x14ac:dyDescent="0.3">
      <c r="A74" s="110">
        <v>4</v>
      </c>
      <c r="B74" s="110" t="str" cm="1">
        <f t="array" ref="B74">IFERROR(INDEX(personnel_ac_notes[[#This Row],[Exceeding nr months]:[Costs specified]],1,MATCH(TRUE,LEN(personnel_ac_notes[[#This Row],[Exceeding nr months]:[Costs specified]])&gt;0,0)),"")</f>
        <v/>
      </c>
      <c r="C74" s="110" t="str">
        <f>IFERROR(IF(INDEX(Personnel[Months],A74)&gt;Max_project_duration,$B$35,""),"")</f>
        <v/>
      </c>
      <c r="D74" s="110" t="str">
        <f>IFERROR(IF(AND(LEN(INDEX(Personnel[Category],A74))+LEN(INDEX(Personnel[FTE],A74))+LEN(INDEX(Personnel[Months],A74))&gt;0,LEN(INDEX(Personnel[Category],A74-1))+LEN(INDEX(Personnel[FTE],A74-1))+LEN(INDEX(Personnel[Months],A74-1))=0),$B$34,""),"")</f>
        <v/>
      </c>
      <c r="E74" s="110" t="str">
        <f>IF(AND(NOT(ISBLANK(INDEX(Personnel[Category],A74))),OR(ISBLANK(INDEX(Personnel[FTE],A74)),ISBLANK(INDEX(Personnel[Months],A74)))),VLOOKUP(INDEX(Personnel[Category],A74),salaries_academic[],2,FALSE),"")</f>
        <v/>
      </c>
      <c r="F74" s="110" t="str">
        <f>IFERROR(IF(COUNTIF(INDEX(Personnel[Category],A74),"*- PhD*")&gt;0,IF(INDEX(Personnel[Months],A74)*INDEX(Personnel[FTE],A74)&lt;pers_PhD_min_months,$B$36,""),""),"")</f>
        <v/>
      </c>
      <c r="G74" s="110" t="str">
        <f>IFERROR(IF(COUNTIF(INDEX(Personnel[Category],$A74),"*- PhD*")&gt;0,IF(INDEX(Personnel[Months],$A74)*INDEX(Personnel[FTE],$A74)&gt;pers_PhD_max_months,$B$37,""),""),"")</f>
        <v/>
      </c>
      <c r="H74" s="110" t="str">
        <f>IFERROR(IF(COUNTIF(INDEX(Personnel[Category],A74),"*EngD*")&gt;0,IF(OR(IFERROR(MATCH("*PhD*",Personnel[Category],0),0)&gt;0,IFERROR(MATCH("*PostDoc*",Personnel[Category],0),0)&gt;0),"",$B$38),""),"")</f>
        <v/>
      </c>
      <c r="I74" s="110" t="str">
        <f>IFERROR(IF(COUNTIF(INDEX(Personnel[Category],A74),"*EngD*")&gt;0,IF(INDEX(Personnel[Months],A74)*INDEX(Personnel[FTE],A74)&gt;pers_PDEng_max_months,$B$39,""),""),"")</f>
        <v/>
      </c>
      <c r="J74" s="110" t="str">
        <f>IFERROR(IF(COUNTIF(INDEX(Personnel[Category],A74),"*PostDoc*")&gt;0,IF(INDEX(Personnel[Months],A74)&lt;pers_PD_min_months,$B$40,""),""),"")</f>
        <v/>
      </c>
      <c r="K74" s="110" t="str">
        <f>IFERROR(IF(COUNTIF(INDEX(Personnel[Category],A74),"*PostDoc*")&gt;0,IF(INDEX(Personnel[FTE],A74)&lt;pers_PD_min_FTE,$B$41,""),""),"")</f>
        <v/>
      </c>
      <c r="L74" s="110" t="str">
        <f>IFERROR(IF(COUNTIF(INDEX(Personnel[Category],A74),"*PostDoc*")&gt;0,IF(INDEX(Personnel[Months],A74)*INDEX(Personnel[FTE],A74)&gt;pers_PD_max_months,$B$42,""),""),"")</f>
        <v/>
      </c>
      <c r="M74" s="110" t="str">
        <f>IFERROR(IF(COUNTIF(INDEX(Personnel[Category],A74),"*hysici*")&gt;0,IF(INDEX(Personnel[Months],A74)*INDEX(Personnel[FTE],A74)&lt;pers_phy_res_min_months,$B$43,""),""),"")</f>
        <v/>
      </c>
      <c r="N74" s="110" t="str">
        <f>IFERROR(IF(COUNTIF(INDEX(Personnel[Category],A74),"*hysici*")&gt;0,IF(INDEX(Personnel[Months],A74)*INDEX(Personnel[FTE],A74)&gt;pers_phy_res_max_months,$B$44,""),""),"")</f>
        <v/>
      </c>
      <c r="O74" s="110" t="str">
        <f>IFERROR(IF(AND(INDEX(Personnel[Costs],A74)=0,INDEX(salaries_academic[[category]:[1]],MATCH(INDEX(Personnel[Category],A74),salaries_academic[category],0),3)=0),$B$45,""),"")</f>
        <v/>
      </c>
      <c r="P74" s="110" t="str">
        <f>IFERROR(IF(AND(INDEX(Personnel[Costs],A74)&gt;0,NOT(INDEX(Personnel[Category],A74)=parameters!$A$84)),$B$46,""),"")</f>
        <v/>
      </c>
    </row>
    <row r="75" spans="1:16" outlineLevel="1" x14ac:dyDescent="0.3">
      <c r="A75" s="110">
        <v>5</v>
      </c>
      <c r="B75" s="110" t="str" cm="1">
        <f t="array" ref="B75">IFERROR(INDEX(personnel_ac_notes[[#This Row],[Exceeding nr months]:[Costs specified]],1,MATCH(TRUE,LEN(personnel_ac_notes[[#This Row],[Exceeding nr months]:[Costs specified]])&gt;0,0)),"")</f>
        <v/>
      </c>
      <c r="C75" s="110" t="str">
        <f>IFERROR(IF(INDEX(Personnel[Months],A75)&gt;Max_project_duration,$B$35,""),"")</f>
        <v/>
      </c>
      <c r="D75" s="110" t="str">
        <f>IFERROR(IF(AND(LEN(INDEX(Personnel[Category],A75))+LEN(INDEX(Personnel[FTE],A75))+LEN(INDEX(Personnel[Months],A75))&gt;0,LEN(INDEX(Personnel[Category],A75-1))+LEN(INDEX(Personnel[FTE],A75-1))+LEN(INDEX(Personnel[Months],A75-1))=0),$B$34,""),"")</f>
        <v/>
      </c>
      <c r="E75" s="110" t="str">
        <f>IF(AND(NOT(ISBLANK(INDEX(Personnel[Category],A75))),OR(ISBLANK(INDEX(Personnel[FTE],A75)),ISBLANK(INDEX(Personnel[Months],A75)))),VLOOKUP(INDEX(Personnel[Category],A75),salaries_academic[],2,FALSE),"")</f>
        <v/>
      </c>
      <c r="F75" s="110" t="str">
        <f>IFERROR(IF(COUNTIF(INDEX(Personnel[Category],A75),"*- PhD*")&gt;0,IF(INDEX(Personnel[Months],A75)*INDEX(Personnel[FTE],A75)&lt;pers_PhD_min_months,$B$36,""),""),"")</f>
        <v/>
      </c>
      <c r="G75" s="110" t="str">
        <f>IFERROR(IF(COUNTIF(INDEX(Personnel[Category],$A75),"*- PhD*")&gt;0,IF(INDEX(Personnel[Months],$A75)*INDEX(Personnel[FTE],$A75)&gt;pers_PhD_max_months,$B$37,""),""),"")</f>
        <v/>
      </c>
      <c r="H75" s="110" t="str">
        <f>IFERROR(IF(COUNTIF(INDEX(Personnel[Category],A75),"*EngD*")&gt;0,IF(OR(IFERROR(MATCH("*PhD*",Personnel[Category],0),0)&gt;0,IFERROR(MATCH("*PostDoc*",Personnel[Category],0),0)&gt;0),"",$B$38),""),"")</f>
        <v/>
      </c>
      <c r="I75" s="110" t="str">
        <f>IFERROR(IF(COUNTIF(INDEX(Personnel[Category],A75),"*EngD*")&gt;0,IF(INDEX(Personnel[Months],A75)*INDEX(Personnel[FTE],A75)&gt;pers_PDEng_max_months,$B$39,""),""),"")</f>
        <v/>
      </c>
      <c r="J75" s="110" t="str">
        <f>IFERROR(IF(COUNTIF(INDEX(Personnel[Category],A75),"*PostDoc*")&gt;0,IF(INDEX(Personnel[Months],A75)&lt;pers_PD_min_months,$B$40,""),""),"")</f>
        <v/>
      </c>
      <c r="K75" s="110" t="str">
        <f>IFERROR(IF(COUNTIF(INDEX(Personnel[Category],A75),"*PostDoc*")&gt;0,IF(INDEX(Personnel[FTE],A75)&lt;pers_PD_min_FTE,$B$41,""),""),"")</f>
        <v/>
      </c>
      <c r="L75" s="110" t="str">
        <f>IFERROR(IF(COUNTIF(INDEX(Personnel[Category],A75),"*PostDoc*")&gt;0,IF(INDEX(Personnel[Months],A75)*INDEX(Personnel[FTE],A75)&gt;pers_PD_max_months,$B$42,""),""),"")</f>
        <v/>
      </c>
      <c r="M75" s="110" t="str">
        <f>IFERROR(IF(COUNTIF(INDEX(Personnel[Category],A75),"*hysici*")&gt;0,IF(INDEX(Personnel[Months],A75)*INDEX(Personnel[FTE],A75)&lt;pers_phy_res_min_months,$B$43,""),""),"")</f>
        <v/>
      </c>
      <c r="N75" s="110" t="str">
        <f>IFERROR(IF(COUNTIF(INDEX(Personnel[Category],A75),"*hysici*")&gt;0,IF(INDEX(Personnel[Months],A75)*INDEX(Personnel[FTE],A75)&gt;pers_phy_res_max_months,$B$44,""),""),"")</f>
        <v/>
      </c>
      <c r="O75" s="110" t="str">
        <f>IFERROR(IF(AND(INDEX(Personnel[Costs],A75)=0,INDEX(salaries_academic[[category]:[1]],MATCH(INDEX(Personnel[Category],A75),salaries_academic[category],0),3)=0),$B$45,""),"")</f>
        <v/>
      </c>
      <c r="P75" s="110" t="str">
        <f>IFERROR(IF(AND(INDEX(Personnel[Costs],A75)&gt;0,NOT(INDEX(Personnel[Category],A75)=parameters!$A$84)),$B$46,""),"")</f>
        <v/>
      </c>
    </row>
    <row r="76" spans="1:16" outlineLevel="1" x14ac:dyDescent="0.3">
      <c r="A76" s="110">
        <v>6</v>
      </c>
      <c r="B76" s="110" t="str" cm="1">
        <f t="array" ref="B76">IFERROR(INDEX(personnel_ac_notes[[#This Row],[Exceeding nr months]:[Costs specified]],1,MATCH(TRUE,LEN(personnel_ac_notes[[#This Row],[Exceeding nr months]:[Costs specified]])&gt;0,0)),"")</f>
        <v/>
      </c>
      <c r="C76" s="110" t="str">
        <f>IFERROR(IF(INDEX(Personnel[Months],A76)&gt;Max_project_duration,$B$35,""),"")</f>
        <v/>
      </c>
      <c r="D76" s="110" t="str">
        <f>IFERROR(IF(AND(LEN(INDEX(Personnel[Category],A76))+LEN(INDEX(Personnel[FTE],A76))+LEN(INDEX(Personnel[Months],A76))&gt;0,LEN(INDEX(Personnel[Category],A76-1))+LEN(INDEX(Personnel[FTE],A76-1))+LEN(INDEX(Personnel[Months],A76-1))=0),$B$34,""),"")</f>
        <v/>
      </c>
      <c r="E76" s="110" t="str">
        <f>IF(AND(NOT(ISBLANK(INDEX(Personnel[Category],A76))),OR(ISBLANK(INDEX(Personnel[FTE],A76)),ISBLANK(INDEX(Personnel[Months],A76)))),VLOOKUP(INDEX(Personnel[Category],A76),salaries_academic[],2,FALSE),"")</f>
        <v/>
      </c>
      <c r="F76" s="110" t="str">
        <f>IFERROR(IF(COUNTIF(INDEX(Personnel[Category],A76),"*- PhD*")&gt;0,IF(INDEX(Personnel[Months],A76)*INDEX(Personnel[FTE],A76)&lt;pers_PhD_min_months,$B$36,""),""),"")</f>
        <v/>
      </c>
      <c r="G76" s="110" t="str">
        <f>IFERROR(IF(COUNTIF(INDEX(Personnel[Category],$A76),"*- PhD*")&gt;0,IF(INDEX(Personnel[Months],$A76)*INDEX(Personnel[FTE],$A76)&gt;pers_PhD_max_months,$B$37,""),""),"")</f>
        <v/>
      </c>
      <c r="H76" s="110" t="str">
        <f>IFERROR(IF(COUNTIF(INDEX(Personnel[Category],A76),"*EngD*")&gt;0,IF(OR(IFERROR(MATCH("*PhD*",Personnel[Category],0),0)&gt;0,IFERROR(MATCH("*PostDoc*",Personnel[Category],0),0)&gt;0),"",$B$38),""),"")</f>
        <v/>
      </c>
      <c r="I76" s="110" t="str">
        <f>IFERROR(IF(COUNTIF(INDEX(Personnel[Category],A76),"*EngD*")&gt;0,IF(INDEX(Personnel[Months],A76)*INDEX(Personnel[FTE],A76)&gt;pers_PDEng_max_months,$B$39,""),""),"")</f>
        <v/>
      </c>
      <c r="J76" s="110" t="str">
        <f>IFERROR(IF(COUNTIF(INDEX(Personnel[Category],A76),"*PostDoc*")&gt;0,IF(INDEX(Personnel[Months],A76)&lt;pers_PD_min_months,$B$40,""),""),"")</f>
        <v/>
      </c>
      <c r="K76" s="110" t="str">
        <f>IFERROR(IF(COUNTIF(INDEX(Personnel[Category],A76),"*PostDoc*")&gt;0,IF(INDEX(Personnel[FTE],A76)&lt;pers_PD_min_FTE,$B$41,""),""),"")</f>
        <v/>
      </c>
      <c r="L76" s="110" t="str">
        <f>IFERROR(IF(COUNTIF(INDEX(Personnel[Category],A76),"*PostDoc*")&gt;0,IF(INDEX(Personnel[Months],A76)*INDEX(Personnel[FTE],A76)&gt;pers_PD_max_months,$B$42,""),""),"")</f>
        <v/>
      </c>
      <c r="M76" s="110" t="str">
        <f>IFERROR(IF(COUNTIF(INDEX(Personnel[Category],A76),"*hysici*")&gt;0,IF(INDEX(Personnel[Months],A76)*INDEX(Personnel[FTE],A76)&lt;pers_phy_res_min_months,$B$43,""),""),"")</f>
        <v/>
      </c>
      <c r="N76" s="110" t="str">
        <f>IFERROR(IF(COUNTIF(INDEX(Personnel[Category],A76),"*hysici*")&gt;0,IF(INDEX(Personnel[Months],A76)*INDEX(Personnel[FTE],A76)&gt;pers_phy_res_max_months,$B$44,""),""),"")</f>
        <v/>
      </c>
      <c r="O76" s="110" t="str">
        <f>IFERROR(IF(AND(INDEX(Personnel[Costs],A76)=0,INDEX(salaries_academic[[category]:[1]],MATCH(INDEX(Personnel[Category],A76),salaries_academic[category],0),3)=0),$B$45,""),"")</f>
        <v/>
      </c>
      <c r="P76" s="110" t="str">
        <f>IFERROR(IF(AND(INDEX(Personnel[Costs],A76)&gt;0,NOT(INDEX(Personnel[Category],A76)=parameters!$A$84)),$B$46,""),"")</f>
        <v/>
      </c>
    </row>
    <row r="77" spans="1:16" outlineLevel="1" x14ac:dyDescent="0.3">
      <c r="A77" s="110">
        <v>7</v>
      </c>
      <c r="B77" s="110" t="str" cm="1">
        <f t="array" ref="B77">IFERROR(INDEX(personnel_ac_notes[[#This Row],[Exceeding nr months]:[Costs specified]],1,MATCH(TRUE,LEN(personnel_ac_notes[[#This Row],[Exceeding nr months]:[Costs specified]])&gt;0,0)),"")</f>
        <v/>
      </c>
      <c r="C77" s="110" t="str">
        <f>IFERROR(IF(INDEX(Personnel[Months],A77)&gt;Max_project_duration,$B$35,""),"")</f>
        <v/>
      </c>
      <c r="D77" s="110" t="str">
        <f>IFERROR(IF(AND(LEN(INDEX(Personnel[Category],A77))+LEN(INDEX(Personnel[FTE],A77))+LEN(INDEX(Personnel[Months],A77))&gt;0,LEN(INDEX(Personnel[Category],A77-1))+LEN(INDEX(Personnel[FTE],A77-1))+LEN(INDEX(Personnel[Months],A77-1))=0),$B$34,""),"")</f>
        <v/>
      </c>
      <c r="E77" s="110" t="str">
        <f>IF(AND(NOT(ISBLANK(INDEX(Personnel[Category],A77))),OR(ISBLANK(INDEX(Personnel[FTE],A77)),ISBLANK(INDEX(Personnel[Months],A77)))),VLOOKUP(INDEX(Personnel[Category],A77),salaries_academic[],2,FALSE),"")</f>
        <v/>
      </c>
      <c r="F77" s="110" t="str">
        <f>IFERROR(IF(COUNTIF(INDEX(Personnel[Category],A77),"*- PhD*")&gt;0,IF(INDEX(Personnel[Months],A77)*INDEX(Personnel[FTE],A77)&lt;pers_PhD_min_months,$B$36,""),""),"")</f>
        <v/>
      </c>
      <c r="G77" s="110" t="str">
        <f>IFERROR(IF(COUNTIF(INDEX(Personnel[Category],$A77),"*- PhD*")&gt;0,IF(INDEX(Personnel[Months],$A77)*INDEX(Personnel[FTE],$A77)&gt;pers_PhD_max_months,$B$37,""),""),"")</f>
        <v/>
      </c>
      <c r="H77" s="110" t="str">
        <f>IFERROR(IF(COUNTIF(INDEX(Personnel[Category],A77),"*EngD*")&gt;0,IF(OR(IFERROR(MATCH("*PhD*",Personnel[Category],0),0)&gt;0,IFERROR(MATCH("*PostDoc*",Personnel[Category],0),0)&gt;0),"",$B$38),""),"")</f>
        <v/>
      </c>
      <c r="I77" s="110" t="str">
        <f>IFERROR(IF(COUNTIF(INDEX(Personnel[Category],A77),"*EngD*")&gt;0,IF(INDEX(Personnel[Months],A77)*INDEX(Personnel[FTE],A77)&gt;pers_PDEng_max_months,$B$39,""),""),"")</f>
        <v/>
      </c>
      <c r="J77" s="110" t="str">
        <f>IFERROR(IF(COUNTIF(INDEX(Personnel[Category],A77),"*PostDoc*")&gt;0,IF(INDEX(Personnel[Months],A77)&lt;pers_PD_min_months,$B$40,""),""),"")</f>
        <v/>
      </c>
      <c r="K77" s="110" t="str">
        <f>IFERROR(IF(COUNTIF(INDEX(Personnel[Category],A77),"*PostDoc*")&gt;0,IF(INDEX(Personnel[FTE],A77)&lt;pers_PD_min_FTE,$B$41,""),""),"")</f>
        <v/>
      </c>
      <c r="L77" s="110" t="str">
        <f>IFERROR(IF(COUNTIF(INDEX(Personnel[Category],A77),"*PostDoc*")&gt;0,IF(INDEX(Personnel[Months],A77)*INDEX(Personnel[FTE],A77)&gt;pers_PD_max_months,$B$42,""),""),"")</f>
        <v/>
      </c>
      <c r="M77" s="110" t="str">
        <f>IFERROR(IF(COUNTIF(INDEX(Personnel[Category],A77),"*hysici*")&gt;0,IF(INDEX(Personnel[Months],A77)*INDEX(Personnel[FTE],A77)&lt;pers_phy_res_min_months,$B$43,""),""),"")</f>
        <v/>
      </c>
      <c r="N77" s="110" t="str">
        <f>IFERROR(IF(COUNTIF(INDEX(Personnel[Category],A77),"*hysici*")&gt;0,IF(INDEX(Personnel[Months],A77)*INDEX(Personnel[FTE],A77)&gt;pers_phy_res_max_months,$B$44,""),""),"")</f>
        <v/>
      </c>
      <c r="O77" s="110" t="str">
        <f>IFERROR(IF(AND(INDEX(Personnel[Costs],A77)=0,INDEX(salaries_academic[[category]:[1]],MATCH(INDEX(Personnel[Category],A77),salaries_academic[category],0),3)=0),$B$45,""),"")</f>
        <v/>
      </c>
      <c r="P77" s="110" t="str">
        <f>IFERROR(IF(AND(INDEX(Personnel[Costs],A77)&gt;0,NOT(INDEX(Personnel[Category],A77)=parameters!$A$84)),$B$46,""),"")</f>
        <v/>
      </c>
    </row>
    <row r="78" spans="1:16" outlineLevel="1" x14ac:dyDescent="0.3">
      <c r="A78" s="110">
        <v>8</v>
      </c>
      <c r="B78" s="110" t="str" cm="1">
        <f t="array" ref="B78">IFERROR(INDEX(personnel_ac_notes[[#This Row],[Exceeding nr months]:[Costs specified]],1,MATCH(TRUE,LEN(personnel_ac_notes[[#This Row],[Exceeding nr months]:[Costs specified]])&gt;0,0)),"")</f>
        <v/>
      </c>
      <c r="C78" s="110" t="str">
        <f>IFERROR(IF(INDEX(Personnel[Months],A78)&gt;Max_project_duration,$B$35,""),"")</f>
        <v/>
      </c>
      <c r="D78" s="110" t="str">
        <f>IFERROR(IF(AND(LEN(INDEX(Personnel[Category],A78))+LEN(INDEX(Personnel[FTE],A78))+LEN(INDEX(Personnel[Months],A78))&gt;0,LEN(INDEX(Personnel[Category],A78-1))+LEN(INDEX(Personnel[FTE],A78-1))+LEN(INDEX(Personnel[Months],A78-1))=0),$B$34,""),"")</f>
        <v/>
      </c>
      <c r="E78" s="110" t="str">
        <f>IF(AND(NOT(ISBLANK(INDEX(Personnel[Category],A78))),OR(ISBLANK(INDEX(Personnel[FTE],A78)),ISBLANK(INDEX(Personnel[Months],A78)))),VLOOKUP(INDEX(Personnel[Category],A78),salaries_academic[],2,FALSE),"")</f>
        <v/>
      </c>
      <c r="F78" s="110" t="str">
        <f>IFERROR(IF(COUNTIF(INDEX(Personnel[Category],A78),"*- PhD*")&gt;0,IF(INDEX(Personnel[Months],A78)*INDEX(Personnel[FTE],A78)&lt;pers_PhD_min_months,$B$36,""),""),"")</f>
        <v/>
      </c>
      <c r="G78" s="110" t="str">
        <f>IFERROR(IF(COUNTIF(INDEX(Personnel[Category],$A78),"*- PhD*")&gt;0,IF(INDEX(Personnel[Months],$A78)*INDEX(Personnel[FTE],$A78)&gt;pers_PhD_max_months,$B$37,""),""),"")</f>
        <v/>
      </c>
      <c r="H78" s="110" t="str">
        <f>IFERROR(IF(COUNTIF(INDEX(Personnel[Category],A78),"*EngD*")&gt;0,IF(OR(IFERROR(MATCH("*PhD*",Personnel[Category],0),0)&gt;0,IFERROR(MATCH("*PostDoc*",Personnel[Category],0),0)&gt;0),"",$B$38),""),"")</f>
        <v/>
      </c>
      <c r="I78" s="110" t="str">
        <f>IFERROR(IF(COUNTIF(INDEX(Personnel[Category],A78),"*EngD*")&gt;0,IF(INDEX(Personnel[Months],A78)*INDEX(Personnel[FTE],A78)&gt;pers_PDEng_max_months,$B$39,""),""),"")</f>
        <v/>
      </c>
      <c r="J78" s="110" t="str">
        <f>IFERROR(IF(COUNTIF(INDEX(Personnel[Category],A78),"*PostDoc*")&gt;0,IF(INDEX(Personnel[Months],A78)&lt;pers_PD_min_months,$B$40,""),""),"")</f>
        <v/>
      </c>
      <c r="K78" s="110" t="str">
        <f>IFERROR(IF(COUNTIF(INDEX(Personnel[Category],A78),"*PostDoc*")&gt;0,IF(INDEX(Personnel[FTE],A78)&lt;pers_PD_min_FTE,$B$41,""),""),"")</f>
        <v/>
      </c>
      <c r="L78" s="110" t="str">
        <f>IFERROR(IF(COUNTIF(INDEX(Personnel[Category],A78),"*PostDoc*")&gt;0,IF(INDEX(Personnel[Months],A78)*INDEX(Personnel[FTE],A78)&gt;pers_PD_max_months,$B$42,""),""),"")</f>
        <v/>
      </c>
      <c r="M78" s="110" t="str">
        <f>IFERROR(IF(COUNTIF(INDEX(Personnel[Category],A78),"*hysici*")&gt;0,IF(INDEX(Personnel[Months],A78)*INDEX(Personnel[FTE],A78)&lt;pers_phy_res_min_months,$B$43,""),""),"")</f>
        <v/>
      </c>
      <c r="N78" s="110" t="str">
        <f>IFERROR(IF(COUNTIF(INDEX(Personnel[Category],A78),"*hysici*")&gt;0,IF(INDEX(Personnel[Months],A78)*INDEX(Personnel[FTE],A78)&gt;pers_phy_res_max_months,$B$44,""),""),"")</f>
        <v/>
      </c>
      <c r="O78" s="110" t="str">
        <f>IFERROR(IF(AND(INDEX(Personnel[Costs],A78)=0,INDEX(salaries_academic[[category]:[1]],MATCH(INDEX(Personnel[Category],A78),salaries_academic[category],0),3)=0),$B$45,""),"")</f>
        <v/>
      </c>
      <c r="P78" s="110" t="str">
        <f>IFERROR(IF(AND(INDEX(Personnel[Costs],A78)&gt;0,NOT(INDEX(Personnel[Category],A78)=parameters!$A$84)),$B$46,""),"")</f>
        <v/>
      </c>
    </row>
    <row r="79" spans="1:16" outlineLevel="1" x14ac:dyDescent="0.3">
      <c r="A79" s="110">
        <v>9</v>
      </c>
      <c r="B79" s="110" t="str" cm="1">
        <f t="array" ref="B79">IFERROR(INDEX(personnel_ac_notes[[#This Row],[Exceeding nr months]:[Costs specified]],1,MATCH(TRUE,LEN(personnel_ac_notes[[#This Row],[Exceeding nr months]:[Costs specified]])&gt;0,0)),"")</f>
        <v/>
      </c>
      <c r="C79" s="110" t="str">
        <f>IFERROR(IF(INDEX(Personnel[Months],A79)&gt;Max_project_duration,$B$35,""),"")</f>
        <v/>
      </c>
      <c r="D79" s="110" t="str">
        <f>IFERROR(IF(AND(LEN(INDEX(Personnel[Category],A79))+LEN(INDEX(Personnel[FTE],A79))+LEN(INDEX(Personnel[Months],A79))&gt;0,LEN(INDEX(Personnel[Category],A79-1))+LEN(INDEX(Personnel[FTE],A79-1))+LEN(INDEX(Personnel[Months],A79-1))=0),$B$34,""),"")</f>
        <v/>
      </c>
      <c r="E79" s="110" t="str">
        <f>IF(AND(NOT(ISBLANK(INDEX(Personnel[Category],A79))),OR(ISBLANK(INDEX(Personnel[FTE],A79)),ISBLANK(INDEX(Personnel[Months],A79)))),VLOOKUP(INDEX(Personnel[Category],A79),salaries_academic[],2,FALSE),"")</f>
        <v/>
      </c>
      <c r="F79" s="110" t="str">
        <f>IFERROR(IF(COUNTIF(INDEX(Personnel[Category],A79),"*- PhD*")&gt;0,IF(INDEX(Personnel[Months],A79)*INDEX(Personnel[FTE],A79)&lt;pers_PhD_min_months,$B$36,""),""),"")</f>
        <v/>
      </c>
      <c r="G79" s="110" t="str">
        <f>IFERROR(IF(COUNTIF(INDEX(Personnel[Category],$A79),"*- PhD*")&gt;0,IF(INDEX(Personnel[Months],$A79)*INDEX(Personnel[FTE],$A79)&gt;pers_PhD_max_months,$B$37,""),""),"")</f>
        <v/>
      </c>
      <c r="H79" s="110" t="str">
        <f>IFERROR(IF(COUNTIF(INDEX(Personnel[Category],A79),"*EngD*")&gt;0,IF(OR(IFERROR(MATCH("*PhD*",Personnel[Category],0),0)&gt;0,IFERROR(MATCH("*PostDoc*",Personnel[Category],0),0)&gt;0),"",$B$38),""),"")</f>
        <v/>
      </c>
      <c r="I79" s="110" t="str">
        <f>IFERROR(IF(COUNTIF(INDEX(Personnel[Category],A79),"*EngD*")&gt;0,IF(INDEX(Personnel[Months],A79)*INDEX(Personnel[FTE],A79)&gt;pers_PDEng_max_months,$B$39,""),""),"")</f>
        <v/>
      </c>
      <c r="J79" s="110" t="str">
        <f>IFERROR(IF(COUNTIF(INDEX(Personnel[Category],A79),"*PostDoc*")&gt;0,IF(INDEX(Personnel[Months],A79)&lt;pers_PD_min_months,$B$40,""),""),"")</f>
        <v/>
      </c>
      <c r="K79" s="110" t="str">
        <f>IFERROR(IF(COUNTIF(INDEX(Personnel[Category],A79),"*PostDoc*")&gt;0,IF(INDEX(Personnel[FTE],A79)&lt;pers_PD_min_FTE,$B$41,""),""),"")</f>
        <v/>
      </c>
      <c r="L79" s="110" t="str">
        <f>IFERROR(IF(COUNTIF(INDEX(Personnel[Category],A79),"*PostDoc*")&gt;0,IF(INDEX(Personnel[Months],A79)*INDEX(Personnel[FTE],A79)&gt;pers_PD_max_months,$B$42,""),""),"")</f>
        <v/>
      </c>
      <c r="M79" s="110" t="str">
        <f>IFERROR(IF(COUNTIF(INDEX(Personnel[Category],A79),"*hysici*")&gt;0,IF(INDEX(Personnel[Months],A79)*INDEX(Personnel[FTE],A79)&lt;pers_phy_res_min_months,$B$43,""),""),"")</f>
        <v/>
      </c>
      <c r="N79" s="110" t="str">
        <f>IFERROR(IF(COUNTIF(INDEX(Personnel[Category],A79),"*hysici*")&gt;0,IF(INDEX(Personnel[Months],A79)*INDEX(Personnel[FTE],A79)&gt;pers_phy_res_max_months,$B$44,""),""),"")</f>
        <v/>
      </c>
      <c r="O79" s="110" t="str">
        <f>IFERROR(IF(AND(INDEX(Personnel[Costs],A79)=0,INDEX(salaries_academic[[category]:[1]],MATCH(INDEX(Personnel[Category],A79),salaries_academic[category],0),3)=0),$B$45,""),"")</f>
        <v/>
      </c>
      <c r="P79" s="110" t="str">
        <f>IFERROR(IF(AND(INDEX(Personnel[Costs],A79)&gt;0,NOT(INDEX(Personnel[Category],A79)=parameters!$A$84)),$B$46,""),"")</f>
        <v/>
      </c>
    </row>
    <row r="80" spans="1:16" outlineLevel="1" x14ac:dyDescent="0.3">
      <c r="A80" s="110">
        <v>10</v>
      </c>
      <c r="B80" s="110" t="str" cm="1">
        <f t="array" ref="B80">IFERROR(INDEX(personnel_ac_notes[[#This Row],[Exceeding nr months]:[Costs specified]],1,MATCH(TRUE,LEN(personnel_ac_notes[[#This Row],[Exceeding nr months]:[Costs specified]])&gt;0,0)),"")</f>
        <v/>
      </c>
      <c r="C80" s="110" t="str">
        <f>IFERROR(IF(INDEX(Personnel[Months],A80)&gt;Max_project_duration,$B$35,""),"")</f>
        <v/>
      </c>
      <c r="D80" s="110" t="str">
        <f>IFERROR(IF(AND(LEN(INDEX(Personnel[Category],A80))+LEN(INDEX(Personnel[FTE],A80))+LEN(INDEX(Personnel[Months],A80))&gt;0,LEN(INDEX(Personnel[Category],A80-1))+LEN(INDEX(Personnel[FTE],A80-1))+LEN(INDEX(Personnel[Months],A80-1))=0),$B$34,""),"")</f>
        <v/>
      </c>
      <c r="E80" s="110" t="str">
        <f>IF(AND(NOT(ISBLANK(INDEX(Personnel[Category],A80))),OR(ISBLANK(INDEX(Personnel[FTE],A80)),ISBLANK(INDEX(Personnel[Months],A80)))),VLOOKUP(INDEX(Personnel[Category],A80),salaries_academic[],2,FALSE),"")</f>
        <v/>
      </c>
      <c r="F80" s="110" t="str">
        <f>IFERROR(IF(COUNTIF(INDEX(Personnel[Category],A80),"*- PhD*")&gt;0,IF(INDEX(Personnel[Months],A80)*INDEX(Personnel[FTE],A80)&lt;pers_PhD_min_months,$B$36,""),""),"")</f>
        <v/>
      </c>
      <c r="G80" s="110" t="str">
        <f>IFERROR(IF(COUNTIF(INDEX(Personnel[Category],$A80),"*- PhD*")&gt;0,IF(INDEX(Personnel[Months],$A80)*INDEX(Personnel[FTE],$A80)&gt;pers_PhD_max_months,$B$37,""),""),"")</f>
        <v/>
      </c>
      <c r="H80" s="110" t="str">
        <f>IFERROR(IF(COUNTIF(INDEX(Personnel[Category],A80),"*EngD*")&gt;0,IF(OR(IFERROR(MATCH("*PhD*",Personnel[Category],0),0)&gt;0,IFERROR(MATCH("*PostDoc*",Personnel[Category],0),0)&gt;0),"",$B$38),""),"")</f>
        <v/>
      </c>
      <c r="I80" s="110" t="str">
        <f>IFERROR(IF(COUNTIF(INDEX(Personnel[Category],A80),"*EngD*")&gt;0,IF(INDEX(Personnel[Months],A80)*INDEX(Personnel[FTE],A80)&gt;pers_PDEng_max_months,$B$39,""),""),"")</f>
        <v/>
      </c>
      <c r="J80" s="110" t="str">
        <f>IFERROR(IF(COUNTIF(INDEX(Personnel[Category],A80),"*PostDoc*")&gt;0,IF(INDEX(Personnel[Months],A80)&lt;pers_PD_min_months,$B$40,""),""),"")</f>
        <v/>
      </c>
      <c r="K80" s="110" t="str">
        <f>IFERROR(IF(COUNTIF(INDEX(Personnel[Category],A80),"*PostDoc*")&gt;0,IF(INDEX(Personnel[FTE],A80)&lt;pers_PD_min_FTE,$B$41,""),""),"")</f>
        <v/>
      </c>
      <c r="L80" s="110" t="str">
        <f>IFERROR(IF(COUNTIF(INDEX(Personnel[Category],A80),"*PostDoc*")&gt;0,IF(INDEX(Personnel[Months],A80)*INDEX(Personnel[FTE],A80)&gt;pers_PD_max_months,$B$42,""),""),"")</f>
        <v/>
      </c>
      <c r="M80" s="110" t="str">
        <f>IFERROR(IF(COUNTIF(INDEX(Personnel[Category],A80),"*hysici*")&gt;0,IF(INDEX(Personnel[Months],A80)*INDEX(Personnel[FTE],A80)&lt;pers_phy_res_min_months,$B$43,""),""),"")</f>
        <v/>
      </c>
      <c r="N80" s="110" t="str">
        <f>IFERROR(IF(COUNTIF(INDEX(Personnel[Category],A80),"*hysici*")&gt;0,IF(INDEX(Personnel[Months],A80)*INDEX(Personnel[FTE],A80)&gt;pers_phy_res_max_months,$B$44,""),""),"")</f>
        <v/>
      </c>
      <c r="O80" s="110" t="str">
        <f>IFERROR(IF(AND(INDEX(Personnel[Costs],A80)=0,INDEX(salaries_academic[[category]:[1]],MATCH(INDEX(Personnel[Category],A80),salaries_academic[category],0),3)=0),$B$45,""),"")</f>
        <v/>
      </c>
      <c r="P80" s="110" t="str">
        <f>IFERROR(IF(AND(INDEX(Personnel[Costs],A80)&gt;0,NOT(INDEX(Personnel[Category],A80)=parameters!$A$84)),$B$46,""),"")</f>
        <v/>
      </c>
    </row>
    <row r="82" spans="1:3" ht="18" x14ac:dyDescent="0.3">
      <c r="A82" s="269" t="s">
        <v>708</v>
      </c>
    </row>
    <row r="83" spans="1:3" ht="18" x14ac:dyDescent="0.3">
      <c r="A83" s="128"/>
    </row>
    <row r="84" spans="1:3" outlineLevel="2" x14ac:dyDescent="0.3">
      <c r="A84" s="268" t="s">
        <v>530</v>
      </c>
      <c r="B84" s="268" t="s">
        <v>533</v>
      </c>
      <c r="C84" s="246" t="s">
        <v>626</v>
      </c>
    </row>
    <row r="85" spans="1:3" outlineLevel="2" x14ac:dyDescent="0.3">
      <c r="A85" s="262">
        <v>1</v>
      </c>
      <c r="B85" s="110" t="str" cm="1">
        <f t="array" ref="B85">IFERROR(INDEX(#REF!,1,MATCH(TRUE,LEN(#REF!)&gt;0,0)),"")</f>
        <v/>
      </c>
      <c r="C85" s="110" t="str">
        <f>IFERROR(IF(AND(empty_lines="no",LEN(_xlfn.SINGLE(INDEX(#REF!,pers_fixed_notes[[#This Row],[Row nr]])))=0,LEN(_xlfn.SINGLE(INDEX(#REF!,pers_fixed_notes[[#This Row],[Row nr]]+1)))&gt;0),$B$34,""),"")</f>
        <v/>
      </c>
    </row>
    <row r="86" spans="1:3" outlineLevel="2" x14ac:dyDescent="0.3">
      <c r="A86" s="264">
        <v>2</v>
      </c>
      <c r="B86" s="110" t="str" cm="1">
        <f t="array" ref="B86">IFERROR(INDEX(#REF!,1,MATCH(TRUE,LEN(#REF!)&gt;0,0)),"")</f>
        <v/>
      </c>
      <c r="C86" s="110" t="str">
        <f>IFERROR(IF(AND(empty_lines="no",LEN(_xlfn.SINGLE(INDEX(#REF!,pers_fixed_notes[[#This Row],[Row nr]])))=0,LEN(_xlfn.SINGLE(INDEX(#REF!,pers_fixed_notes[[#This Row],[Row nr]]+1)))&gt;0),$B$34,""),"")</f>
        <v/>
      </c>
    </row>
    <row r="87" spans="1:3" outlineLevel="2" x14ac:dyDescent="0.3">
      <c r="A87" s="262">
        <v>3</v>
      </c>
      <c r="B87" s="110" t="str" cm="1">
        <f t="array" ref="B87">IFERROR(INDEX(#REF!,1,MATCH(TRUE,LEN(#REF!)&gt;0,0)),"")</f>
        <v/>
      </c>
      <c r="C87" s="110" t="str">
        <f>IFERROR(IF(AND(empty_lines="no",LEN(_xlfn.SINGLE(INDEX(#REF!,pers_fixed_notes[[#This Row],[Row nr]])))=0,LEN(_xlfn.SINGLE(INDEX(#REF!,pers_fixed_notes[[#This Row],[Row nr]]+1)))&gt;0),$B$34,""),"")</f>
        <v/>
      </c>
    </row>
    <row r="88" spans="1:3" outlineLevel="2" x14ac:dyDescent="0.3">
      <c r="A88" s="264">
        <v>4</v>
      </c>
      <c r="B88" s="110" t="str" cm="1">
        <f t="array" ref="B88">IFERROR(INDEX(#REF!,1,MATCH(TRUE,LEN(#REF!)&gt;0,0)),"")</f>
        <v/>
      </c>
      <c r="C88" s="110" t="str">
        <f>IFERROR(IF(AND(empty_lines="no",LEN(_xlfn.SINGLE(INDEX(#REF!,pers_fixed_notes[[#This Row],[Row nr]])))=0,LEN(_xlfn.SINGLE(INDEX(#REF!,pers_fixed_notes[[#This Row],[Row nr]]+1)))&gt;0),$B$34,""),"")</f>
        <v/>
      </c>
    </row>
    <row r="89" spans="1:3" outlineLevel="2" x14ac:dyDescent="0.3">
      <c r="A89" s="262">
        <v>5</v>
      </c>
      <c r="B89" s="110" t="str" cm="1">
        <f t="array" ref="B89">IFERROR(INDEX(#REF!,1,MATCH(TRUE,LEN(#REF!)&gt;0,0)),"")</f>
        <v/>
      </c>
      <c r="C89" s="110" t="str">
        <f>IFERROR(IF(AND(empty_lines="no",LEN(_xlfn.SINGLE(INDEX(#REF!,pers_fixed_notes[[#This Row],[Row nr]])))=0,LEN(_xlfn.SINGLE(INDEX(#REF!,pers_fixed_notes[[#This Row],[Row nr]]+1)))&gt;0),$B$34,""),"")</f>
        <v/>
      </c>
    </row>
    <row r="90" spans="1:3" outlineLevel="2" x14ac:dyDescent="0.3">
      <c r="A90" s="264">
        <v>6</v>
      </c>
      <c r="B90" s="110" t="str" cm="1">
        <f t="array" ref="B90">IFERROR(INDEX(#REF!,1,MATCH(TRUE,LEN(#REF!)&gt;0,0)),"")</f>
        <v/>
      </c>
      <c r="C90" s="110" t="str">
        <f>IFERROR(IF(AND(empty_lines="no",LEN(_xlfn.SINGLE(INDEX(#REF!,pers_fixed_notes[[#This Row],[Row nr]])))=0,LEN(_xlfn.SINGLE(INDEX(#REF!,pers_fixed_notes[[#This Row],[Row nr]]+1)))&gt;0),$B$34,""),"")</f>
        <v/>
      </c>
    </row>
    <row r="91" spans="1:3" outlineLevel="2" x14ac:dyDescent="0.3">
      <c r="A91" s="262">
        <v>7</v>
      </c>
      <c r="B91" s="110" t="str" cm="1">
        <f t="array" ref="B91">IFERROR(INDEX(#REF!,1,MATCH(TRUE,LEN(#REF!)&gt;0,0)),"")</f>
        <v/>
      </c>
      <c r="C91" s="110" t="str">
        <f>IFERROR(IF(AND(empty_lines="no",LEN(_xlfn.SINGLE(INDEX(#REF!,pers_fixed_notes[[#This Row],[Row nr]])))=0,LEN(_xlfn.SINGLE(INDEX(#REF!,pers_fixed_notes[[#This Row],[Row nr]]+1)))&gt;0),$B$34,""),"")</f>
        <v/>
      </c>
    </row>
    <row r="92" spans="1:3" outlineLevel="2" x14ac:dyDescent="0.3">
      <c r="A92" s="264">
        <v>8</v>
      </c>
      <c r="B92" s="110" t="str" cm="1">
        <f t="array" ref="B92">IFERROR(INDEX(#REF!,1,MATCH(TRUE,LEN(#REF!)&gt;0,0)),"")</f>
        <v/>
      </c>
      <c r="C92" s="110" t="str">
        <f>IFERROR(IF(AND(empty_lines="no",LEN(_xlfn.SINGLE(INDEX(#REF!,pers_fixed_notes[[#This Row],[Row nr]])))=0,LEN(_xlfn.SINGLE(INDEX(#REF!,pers_fixed_notes[[#This Row],[Row nr]]+1)))&gt;0),$B$34,""),"")</f>
        <v/>
      </c>
    </row>
    <row r="93" spans="1:3" outlineLevel="2" x14ac:dyDescent="0.3">
      <c r="A93" s="262">
        <v>9</v>
      </c>
      <c r="B93" s="110" t="str" cm="1">
        <f t="array" ref="B93">IFERROR(INDEX(#REF!,1,MATCH(TRUE,LEN(#REF!)&gt;0,0)),"")</f>
        <v/>
      </c>
      <c r="C93" s="110" t="str">
        <f>IFERROR(IF(AND(empty_lines="no",LEN(_xlfn.SINGLE(INDEX(#REF!,pers_fixed_notes[[#This Row],[Row nr]])))=0,LEN(_xlfn.SINGLE(INDEX(#REF!,pers_fixed_notes[[#This Row],[Row nr]]+1)))&gt;0),$B$34,""),"")</f>
        <v/>
      </c>
    </row>
    <row r="94" spans="1:3" outlineLevel="2" x14ac:dyDescent="0.3">
      <c r="A94" s="264">
        <v>10</v>
      </c>
      <c r="B94" s="110" t="str" cm="1">
        <f t="array" ref="B94">IFERROR(INDEX(#REF!,1,MATCH(TRUE,LEN(#REF!)&gt;0,0)),"")</f>
        <v/>
      </c>
      <c r="C94" s="110" t="str">
        <f>IFERROR(IF(AND(empty_lines="no",LEN(_xlfn.SINGLE(INDEX(#REF!,pers_fixed_notes[[#This Row],[Row nr]])))=0,LEN(_xlfn.SINGLE(INDEX(#REF!,pers_fixed_notes[[#This Row],[Row nr]]+1)))&gt;0),$B$34,""),"")</f>
        <v/>
      </c>
    </row>
    <row r="95" spans="1:3" outlineLevel="2" x14ac:dyDescent="0.3">
      <c r="A95" s="262">
        <v>11</v>
      </c>
      <c r="B95" s="110" t="str" cm="1">
        <f t="array" ref="B95">IFERROR(INDEX(#REF!,1,MATCH(TRUE,LEN(#REF!)&gt;0,0)),"")</f>
        <v/>
      </c>
      <c r="C95" s="110" t="str">
        <f>IFERROR(IF(AND(empty_lines="no",LEN(_xlfn.SINGLE(INDEX(#REF!,pers_fixed_notes[[#This Row],[Row nr]])))=0,LEN(_xlfn.SINGLE(INDEX(#REF!,pers_fixed_notes[[#This Row],[Row nr]]+1)))&gt;0),$B$34,""),"")</f>
        <v/>
      </c>
    </row>
    <row r="96" spans="1:3" outlineLevel="2" x14ac:dyDescent="0.3">
      <c r="A96" s="264">
        <v>12</v>
      </c>
      <c r="B96" s="110" t="str" cm="1">
        <f t="array" ref="B96">IFERROR(INDEX(#REF!,1,MATCH(TRUE,LEN(#REF!)&gt;0,0)),"")</f>
        <v/>
      </c>
      <c r="C96" s="110" t="str">
        <f>IFERROR(IF(AND(empty_lines="no",LEN(_xlfn.SINGLE(INDEX(#REF!,pers_fixed_notes[[#This Row],[Row nr]])))=0,LEN(_xlfn.SINGLE(INDEX(#REF!,pers_fixed_notes[[#This Row],[Row nr]]+1)))&gt;0),$B$34,""),"")</f>
        <v/>
      </c>
    </row>
    <row r="97" spans="1:3" outlineLevel="2" x14ac:dyDescent="0.3">
      <c r="A97" s="262">
        <v>13</v>
      </c>
      <c r="B97" s="110" t="str" cm="1">
        <f t="array" ref="B97">IFERROR(INDEX(#REF!,1,MATCH(TRUE,LEN(#REF!)&gt;0,0)),"")</f>
        <v/>
      </c>
      <c r="C97" s="110" t="str">
        <f>IFERROR(IF(AND(empty_lines="no",LEN(_xlfn.SINGLE(INDEX(#REF!,pers_fixed_notes[[#This Row],[Row nr]])))=0,LEN(_xlfn.SINGLE(INDEX(#REF!,pers_fixed_notes[[#This Row],[Row nr]]+1)))&gt;0),$B$34,""),"")</f>
        <v/>
      </c>
    </row>
    <row r="98" spans="1:3" outlineLevel="2" x14ac:dyDescent="0.3">
      <c r="A98" s="264">
        <v>14</v>
      </c>
      <c r="B98" s="110" t="str" cm="1">
        <f t="array" ref="B98">IFERROR(INDEX(#REF!,1,MATCH(TRUE,LEN(#REF!)&gt;0,0)),"")</f>
        <v/>
      </c>
      <c r="C98" s="110" t="str">
        <f>IFERROR(IF(AND(empty_lines="no",LEN(_xlfn.SINGLE(INDEX(#REF!,pers_fixed_notes[[#This Row],[Row nr]])))=0,LEN(_xlfn.SINGLE(INDEX(#REF!,pers_fixed_notes[[#This Row],[Row nr]]+1)))&gt;0),$B$34,""),"")</f>
        <v/>
      </c>
    </row>
    <row r="99" spans="1:3" outlineLevel="2" x14ac:dyDescent="0.3">
      <c r="A99" s="262">
        <v>15</v>
      </c>
      <c r="B99" s="110" t="str" cm="1">
        <f t="array" ref="B99">IFERROR(INDEX(#REF!,1,MATCH(TRUE,LEN(#REF!)&gt;0,0)),"")</f>
        <v/>
      </c>
      <c r="C99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00" spans="1:3" outlineLevel="2" x14ac:dyDescent="0.3">
      <c r="A100" s="264">
        <v>16</v>
      </c>
      <c r="B100" s="110" t="str" cm="1">
        <f t="array" ref="B100">IFERROR(INDEX(#REF!,1,MATCH(TRUE,LEN(#REF!)&gt;0,0)),"")</f>
        <v/>
      </c>
      <c r="C100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01" spans="1:3" outlineLevel="2" x14ac:dyDescent="0.3">
      <c r="A101" s="262">
        <v>17</v>
      </c>
      <c r="B101" s="110" t="str" cm="1">
        <f t="array" ref="B101">IFERROR(INDEX(#REF!,1,MATCH(TRUE,LEN(#REF!)&gt;0,0)),"")</f>
        <v/>
      </c>
      <c r="C101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02" spans="1:3" outlineLevel="2" x14ac:dyDescent="0.3">
      <c r="A102" s="264">
        <v>18</v>
      </c>
      <c r="B102" s="110" t="str" cm="1">
        <f t="array" ref="B102">IFERROR(INDEX(#REF!,1,MATCH(TRUE,LEN(#REF!)&gt;0,0)),"")</f>
        <v/>
      </c>
      <c r="C102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03" spans="1:3" outlineLevel="2" x14ac:dyDescent="0.3">
      <c r="A103" s="262">
        <v>19</v>
      </c>
      <c r="B103" s="110" t="str" cm="1">
        <f t="array" ref="B103">IFERROR(INDEX(#REF!,1,MATCH(TRUE,LEN(#REF!)&gt;0,0)),"")</f>
        <v/>
      </c>
      <c r="C103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04" spans="1:3" outlineLevel="2" x14ac:dyDescent="0.3">
      <c r="A104" s="264">
        <v>20</v>
      </c>
      <c r="B104" s="110" t="str" cm="1">
        <f t="array" ref="B104">IFERROR(INDEX(#REF!,1,MATCH(TRUE,LEN(#REF!)&gt;0,0)),"")</f>
        <v/>
      </c>
      <c r="C104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05" spans="1:3" outlineLevel="2" x14ac:dyDescent="0.3">
      <c r="A105" s="262">
        <v>21</v>
      </c>
      <c r="B105" s="110" t="str" cm="1">
        <f t="array" ref="B105">IFERROR(INDEX(#REF!,1,MATCH(TRUE,LEN(#REF!)&gt;0,0)),"")</f>
        <v/>
      </c>
      <c r="C105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06" spans="1:3" outlineLevel="2" x14ac:dyDescent="0.3">
      <c r="A106" s="264">
        <v>22</v>
      </c>
      <c r="B106" s="110" t="str" cm="1">
        <f t="array" ref="B106">IFERROR(INDEX(#REF!,1,MATCH(TRUE,LEN(#REF!)&gt;0,0)),"")</f>
        <v/>
      </c>
      <c r="C106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07" spans="1:3" outlineLevel="2" x14ac:dyDescent="0.3">
      <c r="A107" s="262">
        <v>23</v>
      </c>
      <c r="B107" s="110" t="str" cm="1">
        <f t="array" ref="B107">IFERROR(INDEX(#REF!,1,MATCH(TRUE,LEN(#REF!)&gt;0,0)),"")</f>
        <v/>
      </c>
      <c r="C107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08" spans="1:3" outlineLevel="2" x14ac:dyDescent="0.3">
      <c r="A108" s="264">
        <v>24</v>
      </c>
      <c r="B108" s="110" t="str" cm="1">
        <f t="array" ref="B108">IFERROR(INDEX(#REF!,1,MATCH(TRUE,LEN(#REF!)&gt;0,0)),"")</f>
        <v/>
      </c>
      <c r="C108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09" spans="1:3" outlineLevel="2" x14ac:dyDescent="0.3">
      <c r="A109" s="262">
        <v>25</v>
      </c>
      <c r="B109" s="110" t="str" cm="1">
        <f t="array" ref="B109">IFERROR(INDEX(#REF!,1,MATCH(TRUE,LEN(#REF!)&gt;0,0)),"")</f>
        <v/>
      </c>
      <c r="C109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10" spans="1:3" outlineLevel="2" x14ac:dyDescent="0.3">
      <c r="A110" s="264">
        <v>26</v>
      </c>
      <c r="B110" s="110" t="str" cm="1">
        <f t="array" ref="B110">IFERROR(INDEX(#REF!,1,MATCH(TRUE,LEN(#REF!)&gt;0,0)),"")</f>
        <v/>
      </c>
      <c r="C110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11" spans="1:3" outlineLevel="2" x14ac:dyDescent="0.3">
      <c r="A111" s="262">
        <v>27</v>
      </c>
      <c r="B111" s="110" t="str" cm="1">
        <f t="array" ref="B111">IFERROR(INDEX(#REF!,1,MATCH(TRUE,LEN(#REF!)&gt;0,0)),"")</f>
        <v/>
      </c>
      <c r="C111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12" spans="1:3" outlineLevel="2" x14ac:dyDescent="0.3">
      <c r="A112" s="264">
        <v>28</v>
      </c>
      <c r="B112" s="110" t="str" cm="1">
        <f t="array" ref="B112">IFERROR(INDEX(#REF!,1,MATCH(TRUE,LEN(#REF!)&gt;0,0)),"")</f>
        <v/>
      </c>
      <c r="C112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13" spans="1:3" outlineLevel="2" x14ac:dyDescent="0.3">
      <c r="A113" s="262">
        <v>29</v>
      </c>
      <c r="B113" s="110" t="str" cm="1">
        <f t="array" ref="B113">IFERROR(INDEX(#REF!,1,MATCH(TRUE,LEN(#REF!)&gt;0,0)),"")</f>
        <v/>
      </c>
      <c r="C113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14" spans="1:3" outlineLevel="2" x14ac:dyDescent="0.3">
      <c r="A114" s="264">
        <v>30</v>
      </c>
      <c r="B114" s="110" t="str" cm="1">
        <f t="array" ref="B114">IFERROR(INDEX(#REF!,1,MATCH(TRUE,LEN(#REF!)&gt;0,0)),"")</f>
        <v/>
      </c>
      <c r="C114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15" spans="1:3" outlineLevel="2" x14ac:dyDescent="0.3">
      <c r="A115" s="262">
        <v>31</v>
      </c>
      <c r="B115" s="110" t="str" cm="1">
        <f t="array" ref="B115">IFERROR(INDEX(#REF!,1,MATCH(TRUE,LEN(#REF!)&gt;0,0)),"")</f>
        <v/>
      </c>
      <c r="C115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16" spans="1:3" outlineLevel="2" x14ac:dyDescent="0.3">
      <c r="A116" s="264">
        <v>32</v>
      </c>
      <c r="B116" s="110" t="str" cm="1">
        <f t="array" ref="B116">IFERROR(INDEX(#REF!,1,MATCH(TRUE,LEN(#REF!)&gt;0,0)),"")</f>
        <v/>
      </c>
      <c r="C116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17" spans="1:3" outlineLevel="2" x14ac:dyDescent="0.3">
      <c r="A117" s="262">
        <v>33</v>
      </c>
      <c r="B117" s="110" t="str" cm="1">
        <f t="array" ref="B117">IFERROR(INDEX(#REF!,1,MATCH(TRUE,LEN(#REF!)&gt;0,0)),"")</f>
        <v/>
      </c>
      <c r="C117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18" spans="1:3" outlineLevel="2" x14ac:dyDescent="0.3">
      <c r="A118" s="264">
        <v>34</v>
      </c>
      <c r="B118" s="110" t="str" cm="1">
        <f t="array" ref="B118">IFERROR(INDEX(#REF!,1,MATCH(TRUE,LEN(#REF!)&gt;0,0)),"")</f>
        <v/>
      </c>
      <c r="C118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19" spans="1:3" outlineLevel="2" x14ac:dyDescent="0.3">
      <c r="A119" s="262">
        <v>35</v>
      </c>
      <c r="B119" s="110" t="str" cm="1">
        <f t="array" ref="B119">IFERROR(INDEX(#REF!,1,MATCH(TRUE,LEN(#REF!)&gt;0,0)),"")</f>
        <v/>
      </c>
      <c r="C119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20" spans="1:3" outlineLevel="2" x14ac:dyDescent="0.3">
      <c r="A120" s="264">
        <v>36</v>
      </c>
      <c r="B120" s="110" t="str" cm="1">
        <f t="array" ref="B120">IFERROR(INDEX(#REF!,1,MATCH(TRUE,LEN(#REF!)&gt;0,0)),"")</f>
        <v/>
      </c>
      <c r="C120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21" spans="1:3" outlineLevel="2" x14ac:dyDescent="0.3">
      <c r="A121" s="262">
        <v>37</v>
      </c>
      <c r="B121" s="110" t="str" cm="1">
        <f t="array" ref="B121">IFERROR(INDEX(#REF!,1,MATCH(TRUE,LEN(#REF!)&gt;0,0)),"")</f>
        <v/>
      </c>
      <c r="C121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22" spans="1:3" outlineLevel="2" x14ac:dyDescent="0.3">
      <c r="A122" s="264">
        <v>38</v>
      </c>
      <c r="B122" s="110" t="str" cm="1">
        <f t="array" ref="B122">IFERROR(INDEX(#REF!,1,MATCH(TRUE,LEN(#REF!)&gt;0,0)),"")</f>
        <v/>
      </c>
      <c r="C122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23" spans="1:3" outlineLevel="2" x14ac:dyDescent="0.3">
      <c r="A123" s="262">
        <v>39</v>
      </c>
      <c r="B123" s="110" t="str" cm="1">
        <f t="array" ref="B123">IFERROR(INDEX(#REF!,1,MATCH(TRUE,LEN(#REF!)&gt;0,0)),"")</f>
        <v/>
      </c>
      <c r="C123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24" spans="1:3" outlineLevel="2" x14ac:dyDescent="0.3">
      <c r="A124" s="264">
        <v>40</v>
      </c>
      <c r="B124" s="110" t="str" cm="1">
        <f t="array" ref="B124">IFERROR(INDEX(#REF!,1,MATCH(TRUE,LEN(#REF!)&gt;0,0)),"")</f>
        <v/>
      </c>
      <c r="C124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25" spans="1:3" outlineLevel="2" x14ac:dyDescent="0.3">
      <c r="A125" s="262">
        <v>41</v>
      </c>
      <c r="B125" s="110" t="str" cm="1">
        <f t="array" ref="B125">IFERROR(INDEX(#REF!,1,MATCH(TRUE,LEN(#REF!)&gt;0,0)),"")</f>
        <v/>
      </c>
      <c r="C125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26" spans="1:3" outlineLevel="2" x14ac:dyDescent="0.3">
      <c r="A126" s="264">
        <v>42</v>
      </c>
      <c r="B126" s="110" t="str" cm="1">
        <f t="array" ref="B126">IFERROR(INDEX(#REF!,1,MATCH(TRUE,LEN(#REF!)&gt;0,0)),"")</f>
        <v/>
      </c>
      <c r="C126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27" spans="1:3" outlineLevel="2" x14ac:dyDescent="0.3">
      <c r="A127" s="262">
        <v>43</v>
      </c>
      <c r="B127" s="110" t="str" cm="1">
        <f t="array" ref="B127">IFERROR(INDEX(#REF!,1,MATCH(TRUE,LEN(#REF!)&gt;0,0)),"")</f>
        <v/>
      </c>
      <c r="C127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28" spans="1:3" outlineLevel="2" x14ac:dyDescent="0.3">
      <c r="A128" s="264">
        <v>44</v>
      </c>
      <c r="B128" s="110" t="str" cm="1">
        <f t="array" ref="B128">IFERROR(INDEX(#REF!,1,MATCH(TRUE,LEN(#REF!)&gt;0,0)),"")</f>
        <v/>
      </c>
      <c r="C128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29" spans="1:3" outlineLevel="2" x14ac:dyDescent="0.3">
      <c r="A129" s="262">
        <v>45</v>
      </c>
      <c r="B129" s="110" t="str" cm="1">
        <f t="array" ref="B129">IFERROR(INDEX(#REF!,1,MATCH(TRUE,LEN(#REF!)&gt;0,0)),"")</f>
        <v/>
      </c>
      <c r="C129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30" spans="1:3" outlineLevel="2" x14ac:dyDescent="0.3">
      <c r="A130" s="264">
        <v>46</v>
      </c>
      <c r="B130" s="110" t="str" cm="1">
        <f t="array" ref="B130">IFERROR(INDEX(#REF!,1,MATCH(TRUE,LEN(#REF!)&gt;0,0)),"")</f>
        <v/>
      </c>
      <c r="C130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31" spans="1:3" outlineLevel="2" x14ac:dyDescent="0.3">
      <c r="A131" s="262">
        <v>47</v>
      </c>
      <c r="B131" s="110" t="str" cm="1">
        <f t="array" ref="B131">IFERROR(INDEX(#REF!,1,MATCH(TRUE,LEN(#REF!)&gt;0,0)),"")</f>
        <v/>
      </c>
      <c r="C131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32" spans="1:3" outlineLevel="2" x14ac:dyDescent="0.3">
      <c r="A132" s="264">
        <v>48</v>
      </c>
      <c r="B132" s="110" t="str" cm="1">
        <f t="array" ref="B132">IFERROR(INDEX(#REF!,1,MATCH(TRUE,LEN(#REF!)&gt;0,0)),"")</f>
        <v/>
      </c>
      <c r="C132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33" spans="1:3" outlineLevel="2" x14ac:dyDescent="0.3">
      <c r="A133" s="262">
        <v>49</v>
      </c>
      <c r="B133" s="110" t="str" cm="1">
        <f t="array" ref="B133">IFERROR(INDEX(#REF!,1,MATCH(TRUE,LEN(#REF!)&gt;0,0)),"")</f>
        <v/>
      </c>
      <c r="C133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34" spans="1:3" outlineLevel="2" x14ac:dyDescent="0.3">
      <c r="A134" s="264">
        <v>50</v>
      </c>
      <c r="B134" s="110" t="str" cm="1">
        <f t="array" ref="B134">IFERROR(INDEX(#REF!,1,MATCH(TRUE,LEN(#REF!)&gt;0,0)),"")</f>
        <v/>
      </c>
      <c r="C134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35" spans="1:3" outlineLevel="2" x14ac:dyDescent="0.3">
      <c r="A135" s="262">
        <v>51</v>
      </c>
      <c r="B135" s="110" t="str" cm="1">
        <f t="array" ref="B135">IFERROR(INDEX(#REF!,1,MATCH(TRUE,LEN(#REF!)&gt;0,0)),"")</f>
        <v/>
      </c>
      <c r="C135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36" spans="1:3" outlineLevel="2" x14ac:dyDescent="0.3">
      <c r="A136" s="264">
        <v>52</v>
      </c>
      <c r="B136" s="110" t="str" cm="1">
        <f t="array" ref="B136">IFERROR(INDEX(#REF!,1,MATCH(TRUE,LEN(#REF!)&gt;0,0)),"")</f>
        <v/>
      </c>
      <c r="C136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37" spans="1:3" outlineLevel="2" x14ac:dyDescent="0.3">
      <c r="A137" s="262">
        <v>53</v>
      </c>
      <c r="B137" s="110" t="str" cm="1">
        <f t="array" ref="B137">IFERROR(INDEX(#REF!,1,MATCH(TRUE,LEN(#REF!)&gt;0,0)),"")</f>
        <v/>
      </c>
      <c r="C137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38" spans="1:3" outlineLevel="2" x14ac:dyDescent="0.3">
      <c r="A138" s="264">
        <v>54</v>
      </c>
      <c r="B138" s="110" t="str" cm="1">
        <f t="array" ref="B138">IFERROR(INDEX(#REF!,1,MATCH(TRUE,LEN(#REF!)&gt;0,0)),"")</f>
        <v/>
      </c>
      <c r="C138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39" spans="1:3" outlineLevel="2" x14ac:dyDescent="0.3">
      <c r="A139" s="262">
        <v>55</v>
      </c>
      <c r="B139" s="110" t="str" cm="1">
        <f t="array" ref="B139">IFERROR(INDEX(#REF!,1,MATCH(TRUE,LEN(#REF!)&gt;0,0)),"")</f>
        <v/>
      </c>
      <c r="C139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40" spans="1:3" outlineLevel="2" x14ac:dyDescent="0.3">
      <c r="A140" s="264">
        <v>56</v>
      </c>
      <c r="B140" s="110" t="str" cm="1">
        <f t="array" ref="B140">IFERROR(INDEX(#REF!,1,MATCH(TRUE,LEN(#REF!)&gt;0,0)),"")</f>
        <v/>
      </c>
      <c r="C140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41" spans="1:3" outlineLevel="2" x14ac:dyDescent="0.3">
      <c r="A141" s="262">
        <v>57</v>
      </c>
      <c r="B141" s="110" t="str" cm="1">
        <f t="array" ref="B141">IFERROR(INDEX(#REF!,1,MATCH(TRUE,LEN(#REF!)&gt;0,0)),"")</f>
        <v/>
      </c>
      <c r="C141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42" spans="1:3" outlineLevel="2" x14ac:dyDescent="0.3">
      <c r="A142" s="264">
        <v>58</v>
      </c>
      <c r="B142" s="110" t="str" cm="1">
        <f t="array" ref="B142">IFERROR(INDEX(#REF!,1,MATCH(TRUE,LEN(#REF!)&gt;0,0)),"")</f>
        <v/>
      </c>
      <c r="C142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43" spans="1:3" outlineLevel="2" x14ac:dyDescent="0.3">
      <c r="A143" s="262">
        <v>59</v>
      </c>
      <c r="B143" s="110" t="str" cm="1">
        <f t="array" ref="B143">IFERROR(INDEX(#REF!,1,MATCH(TRUE,LEN(#REF!)&gt;0,0)),"")</f>
        <v/>
      </c>
      <c r="C143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44" spans="1:3" outlineLevel="2" x14ac:dyDescent="0.3">
      <c r="A144" s="264">
        <v>60</v>
      </c>
      <c r="B144" s="110" t="str" cm="1">
        <f t="array" ref="B144">IFERROR(INDEX(#REF!,1,MATCH(TRUE,LEN(#REF!)&gt;0,0)),"")</f>
        <v/>
      </c>
      <c r="C144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45" spans="1:3" outlineLevel="2" x14ac:dyDescent="0.3">
      <c r="A145" s="262">
        <v>61</v>
      </c>
      <c r="B145" s="110" t="str" cm="1">
        <f t="array" ref="B145">IFERROR(INDEX(#REF!,1,MATCH(TRUE,LEN(#REF!)&gt;0,0)),"")</f>
        <v/>
      </c>
      <c r="C145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46" spans="1:3" outlineLevel="2" x14ac:dyDescent="0.3">
      <c r="A146" s="264">
        <v>62</v>
      </c>
      <c r="B146" s="110" t="str" cm="1">
        <f t="array" ref="B146">IFERROR(INDEX(#REF!,1,MATCH(TRUE,LEN(#REF!)&gt;0,0)),"")</f>
        <v/>
      </c>
      <c r="C146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47" spans="1:3" outlineLevel="2" x14ac:dyDescent="0.3">
      <c r="A147" s="262">
        <v>63</v>
      </c>
      <c r="B147" s="110" t="str" cm="1">
        <f t="array" ref="B147">IFERROR(INDEX(#REF!,1,MATCH(TRUE,LEN(#REF!)&gt;0,0)),"")</f>
        <v/>
      </c>
      <c r="C147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48" spans="1:3" outlineLevel="2" x14ac:dyDescent="0.3">
      <c r="A148" s="264">
        <v>64</v>
      </c>
      <c r="B148" s="110" t="str" cm="1">
        <f t="array" ref="B148">IFERROR(INDEX(#REF!,1,MATCH(TRUE,LEN(#REF!)&gt;0,0)),"")</f>
        <v/>
      </c>
      <c r="C148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49" spans="1:3" outlineLevel="2" x14ac:dyDescent="0.3">
      <c r="A149" s="262">
        <v>65</v>
      </c>
      <c r="B149" s="110" t="str" cm="1">
        <f t="array" ref="B149">IFERROR(INDEX(#REF!,1,MATCH(TRUE,LEN(#REF!)&gt;0,0)),"")</f>
        <v/>
      </c>
      <c r="C149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50" spans="1:3" outlineLevel="2" x14ac:dyDescent="0.3">
      <c r="A150" s="264">
        <v>66</v>
      </c>
      <c r="B150" s="110" t="str" cm="1">
        <f t="array" ref="B150">IFERROR(INDEX(#REF!,1,MATCH(TRUE,LEN(#REF!)&gt;0,0)),"")</f>
        <v/>
      </c>
      <c r="C150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51" spans="1:3" outlineLevel="2" x14ac:dyDescent="0.3">
      <c r="A151" s="262">
        <v>67</v>
      </c>
      <c r="B151" s="110" t="str" cm="1">
        <f t="array" ref="B151">IFERROR(INDEX(#REF!,1,MATCH(TRUE,LEN(#REF!)&gt;0,0)),"")</f>
        <v/>
      </c>
      <c r="C151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52" spans="1:3" outlineLevel="2" x14ac:dyDescent="0.3">
      <c r="A152" s="264">
        <v>68</v>
      </c>
      <c r="B152" s="110" t="str" cm="1">
        <f t="array" ref="B152">IFERROR(INDEX(#REF!,1,MATCH(TRUE,LEN(#REF!)&gt;0,0)),"")</f>
        <v/>
      </c>
      <c r="C152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53" spans="1:3" outlineLevel="2" x14ac:dyDescent="0.3">
      <c r="A153" s="262">
        <v>69</v>
      </c>
      <c r="B153" s="110" t="str" cm="1">
        <f t="array" ref="B153">IFERROR(INDEX(#REF!,1,MATCH(TRUE,LEN(#REF!)&gt;0,0)),"")</f>
        <v/>
      </c>
      <c r="C153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54" spans="1:3" outlineLevel="2" x14ac:dyDescent="0.3">
      <c r="A154" s="264">
        <v>70</v>
      </c>
      <c r="B154" s="110" t="str" cm="1">
        <f t="array" ref="B154">IFERROR(INDEX(#REF!,1,MATCH(TRUE,LEN(#REF!)&gt;0,0)),"")</f>
        <v/>
      </c>
      <c r="C154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55" spans="1:3" outlineLevel="2" x14ac:dyDescent="0.3">
      <c r="A155" s="262">
        <v>71</v>
      </c>
      <c r="B155" s="110" t="str" cm="1">
        <f t="array" ref="B155">IFERROR(INDEX(#REF!,1,MATCH(TRUE,LEN(#REF!)&gt;0,0)),"")</f>
        <v/>
      </c>
      <c r="C155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56" spans="1:3" outlineLevel="2" x14ac:dyDescent="0.3">
      <c r="A156" s="264">
        <v>72</v>
      </c>
      <c r="B156" s="110" t="str" cm="1">
        <f t="array" ref="B156">IFERROR(INDEX(#REF!,1,MATCH(TRUE,LEN(#REF!)&gt;0,0)),"")</f>
        <v/>
      </c>
      <c r="C156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57" spans="1:3" outlineLevel="2" x14ac:dyDescent="0.3">
      <c r="A157" s="262">
        <v>73</v>
      </c>
      <c r="B157" s="110" t="str" cm="1">
        <f t="array" ref="B157">IFERROR(INDEX(#REF!,1,MATCH(TRUE,LEN(#REF!)&gt;0,0)),"")</f>
        <v/>
      </c>
      <c r="C157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58" spans="1:3" outlineLevel="2" x14ac:dyDescent="0.3">
      <c r="A158" s="264">
        <v>74</v>
      </c>
      <c r="B158" s="110" t="str" cm="1">
        <f t="array" ref="B158">IFERROR(INDEX(#REF!,1,MATCH(TRUE,LEN(#REF!)&gt;0,0)),"")</f>
        <v/>
      </c>
      <c r="C158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59" spans="1:3" outlineLevel="2" x14ac:dyDescent="0.3">
      <c r="A159" s="262">
        <v>75</v>
      </c>
      <c r="B159" s="110" t="str" cm="1">
        <f t="array" ref="B159">IFERROR(INDEX(#REF!,1,MATCH(TRUE,LEN(#REF!)&gt;0,0)),"")</f>
        <v/>
      </c>
      <c r="C159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60" spans="1:3" outlineLevel="2" x14ac:dyDescent="0.3">
      <c r="A160" s="264">
        <v>76</v>
      </c>
      <c r="B160" s="110" t="str" cm="1">
        <f t="array" ref="B160">IFERROR(INDEX(#REF!,1,MATCH(TRUE,LEN(#REF!)&gt;0,0)),"")</f>
        <v/>
      </c>
      <c r="C160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61" spans="1:3" outlineLevel="2" x14ac:dyDescent="0.3">
      <c r="A161" s="262">
        <v>77</v>
      </c>
      <c r="B161" s="110" t="str" cm="1">
        <f t="array" ref="B161">IFERROR(INDEX(#REF!,1,MATCH(TRUE,LEN(#REF!)&gt;0,0)),"")</f>
        <v/>
      </c>
      <c r="C161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62" spans="1:3" outlineLevel="2" x14ac:dyDescent="0.3">
      <c r="A162" s="264">
        <v>78</v>
      </c>
      <c r="B162" s="110" t="str" cm="1">
        <f t="array" ref="B162">IFERROR(INDEX(#REF!,1,MATCH(TRUE,LEN(#REF!)&gt;0,0)),"")</f>
        <v/>
      </c>
      <c r="C162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63" spans="1:3" outlineLevel="2" x14ac:dyDescent="0.3">
      <c r="A163" s="262">
        <v>79</v>
      </c>
      <c r="B163" s="110" t="str" cm="1">
        <f t="array" ref="B163">IFERROR(INDEX(#REF!,1,MATCH(TRUE,LEN(#REF!)&gt;0,0)),"")</f>
        <v/>
      </c>
      <c r="C163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64" spans="1:3" outlineLevel="2" x14ac:dyDescent="0.3">
      <c r="A164" s="264">
        <v>80</v>
      </c>
      <c r="B164" s="110" t="str" cm="1">
        <f t="array" ref="B164">IFERROR(INDEX(#REF!,1,MATCH(TRUE,LEN(#REF!)&gt;0,0)),"")</f>
        <v/>
      </c>
      <c r="C164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65" spans="1:3" outlineLevel="2" x14ac:dyDescent="0.3">
      <c r="A165" s="262">
        <v>81</v>
      </c>
      <c r="B165" s="110" t="str" cm="1">
        <f t="array" ref="B165">IFERROR(INDEX(#REF!,1,MATCH(TRUE,LEN(#REF!)&gt;0,0)),"")</f>
        <v/>
      </c>
      <c r="C165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66" spans="1:3" outlineLevel="2" x14ac:dyDescent="0.3">
      <c r="A166" s="264">
        <v>82</v>
      </c>
      <c r="B166" s="110" t="str" cm="1">
        <f t="array" ref="B166">IFERROR(INDEX(#REF!,1,MATCH(TRUE,LEN(#REF!)&gt;0,0)),"")</f>
        <v/>
      </c>
      <c r="C166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67" spans="1:3" outlineLevel="2" x14ac:dyDescent="0.3">
      <c r="A167" s="262">
        <v>83</v>
      </c>
      <c r="B167" s="110" t="str" cm="1">
        <f t="array" ref="B167">IFERROR(INDEX(#REF!,1,MATCH(TRUE,LEN(#REF!)&gt;0,0)),"")</f>
        <v/>
      </c>
      <c r="C167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68" spans="1:3" outlineLevel="2" x14ac:dyDescent="0.3">
      <c r="A168" s="264">
        <v>84</v>
      </c>
      <c r="B168" s="110" t="str" cm="1">
        <f t="array" ref="B168">IFERROR(INDEX(#REF!,1,MATCH(TRUE,LEN(#REF!)&gt;0,0)),"")</f>
        <v/>
      </c>
      <c r="C168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69" spans="1:3" outlineLevel="2" x14ac:dyDescent="0.3">
      <c r="A169" s="262">
        <v>85</v>
      </c>
      <c r="B169" s="110" t="str" cm="1">
        <f t="array" ref="B169">IFERROR(INDEX(#REF!,1,MATCH(TRUE,LEN(#REF!)&gt;0,0)),"")</f>
        <v/>
      </c>
      <c r="C169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70" spans="1:3" outlineLevel="2" x14ac:dyDescent="0.3">
      <c r="A170" s="264">
        <v>86</v>
      </c>
      <c r="B170" s="110" t="str" cm="1">
        <f t="array" ref="B170">IFERROR(INDEX(#REF!,1,MATCH(TRUE,LEN(#REF!)&gt;0,0)),"")</f>
        <v/>
      </c>
      <c r="C170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71" spans="1:3" outlineLevel="2" x14ac:dyDescent="0.3">
      <c r="A171" s="262">
        <v>87</v>
      </c>
      <c r="B171" s="110" t="str" cm="1">
        <f t="array" ref="B171">IFERROR(INDEX(#REF!,1,MATCH(TRUE,LEN(#REF!)&gt;0,0)),"")</f>
        <v/>
      </c>
      <c r="C171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72" spans="1:3" outlineLevel="2" x14ac:dyDescent="0.3">
      <c r="A172" s="264">
        <v>88</v>
      </c>
      <c r="B172" s="110" t="str" cm="1">
        <f t="array" ref="B172">IFERROR(INDEX(#REF!,1,MATCH(TRUE,LEN(#REF!)&gt;0,0)),"")</f>
        <v/>
      </c>
      <c r="C172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73" spans="1:3" outlineLevel="2" x14ac:dyDescent="0.3">
      <c r="A173" s="262">
        <v>89</v>
      </c>
      <c r="B173" s="110" t="str" cm="1">
        <f t="array" ref="B173">IFERROR(INDEX(#REF!,1,MATCH(TRUE,LEN(#REF!)&gt;0,0)),"")</f>
        <v/>
      </c>
      <c r="C173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74" spans="1:3" outlineLevel="2" x14ac:dyDescent="0.3">
      <c r="A174" s="264">
        <v>90</v>
      </c>
      <c r="B174" s="110" t="str" cm="1">
        <f t="array" ref="B174">IFERROR(INDEX(#REF!,1,MATCH(TRUE,LEN(#REF!)&gt;0,0)),"")</f>
        <v/>
      </c>
      <c r="C174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75" spans="1:3" outlineLevel="2" x14ac:dyDescent="0.3">
      <c r="A175" s="262">
        <v>91</v>
      </c>
      <c r="B175" s="110" t="str" cm="1">
        <f t="array" ref="B175">IFERROR(INDEX(#REF!,1,MATCH(TRUE,LEN(#REF!)&gt;0,0)),"")</f>
        <v/>
      </c>
      <c r="C175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76" spans="1:3" outlineLevel="2" x14ac:dyDescent="0.3">
      <c r="A176" s="264">
        <v>92</v>
      </c>
      <c r="B176" s="110" t="str" cm="1">
        <f t="array" ref="B176">IFERROR(INDEX(#REF!,1,MATCH(TRUE,LEN(#REF!)&gt;0,0)),"")</f>
        <v/>
      </c>
      <c r="C176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77" spans="1:11" outlineLevel="2" x14ac:dyDescent="0.3">
      <c r="A177" s="262">
        <v>93</v>
      </c>
      <c r="B177" s="110" t="str" cm="1">
        <f t="array" ref="B177">IFERROR(INDEX(#REF!,1,MATCH(TRUE,LEN(#REF!)&gt;0,0)),"")</f>
        <v/>
      </c>
      <c r="C177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78" spans="1:11" outlineLevel="2" x14ac:dyDescent="0.3">
      <c r="A178" s="264">
        <v>94</v>
      </c>
      <c r="B178" s="110" t="str" cm="1">
        <f t="array" ref="B178">IFERROR(INDEX(#REF!,1,MATCH(TRUE,LEN(#REF!)&gt;0,0)),"")</f>
        <v/>
      </c>
      <c r="C178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79" spans="1:11" outlineLevel="2" x14ac:dyDescent="0.3">
      <c r="A179" s="262">
        <v>95</v>
      </c>
      <c r="B179" s="110" t="str" cm="1">
        <f t="array" ref="B179">IFERROR(INDEX(#REF!,1,MATCH(TRUE,LEN(#REF!)&gt;0,0)),"")</f>
        <v/>
      </c>
      <c r="C179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80" spans="1:11" outlineLevel="2" x14ac:dyDescent="0.3">
      <c r="A180" s="264">
        <v>96</v>
      </c>
      <c r="B180" s="110" t="str" cm="1">
        <f t="array" ref="B180">IFERROR(INDEX(#REF!,1,MATCH(TRUE,LEN(#REF!)&gt;0,0)),"")</f>
        <v/>
      </c>
      <c r="C180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81" spans="1:11" outlineLevel="2" x14ac:dyDescent="0.3">
      <c r="A181" s="262">
        <v>97</v>
      </c>
      <c r="B181" s="110" t="str" cm="1">
        <f t="array" ref="B181">IFERROR(INDEX(#REF!,1,MATCH(TRUE,LEN(#REF!)&gt;0,0)),"")</f>
        <v/>
      </c>
      <c r="C181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82" spans="1:11" outlineLevel="2" x14ac:dyDescent="0.3">
      <c r="A182" s="264">
        <v>98</v>
      </c>
      <c r="B182" s="110" t="str" cm="1">
        <f t="array" ref="B182">IFERROR(INDEX(#REF!,1,MATCH(TRUE,LEN(#REF!)&gt;0,0)),"")</f>
        <v/>
      </c>
      <c r="C182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83" spans="1:11" outlineLevel="2" x14ac:dyDescent="0.3">
      <c r="A183" s="262">
        <v>99</v>
      </c>
      <c r="B183" s="110" t="str" cm="1">
        <f t="array" ref="B183">IFERROR(INDEX(#REF!,1,MATCH(TRUE,LEN(#REF!)&gt;0,0)),"")</f>
        <v/>
      </c>
      <c r="C183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84" spans="1:11" outlineLevel="2" x14ac:dyDescent="0.3">
      <c r="A184" s="264">
        <v>100</v>
      </c>
      <c r="B184" s="110" t="str" cm="1">
        <f t="array" ref="B184">IFERROR(INDEX(#REF!,1,MATCH(TRUE,LEN(#REF!)&gt;0,0)),"")</f>
        <v/>
      </c>
      <c r="C184" s="110" t="str">
        <f>IFERROR(IF(AND(empty_lines="no",LEN(_xlfn.SINGLE(INDEX(#REF!,pers_fixed_notes[[#This Row],[Row nr]])))=0,LEN(_xlfn.SINGLE(INDEX(#REF!,pers_fixed_notes[[#This Row],[Row nr]]+1)))&gt;0),$B$34,""),"")</f>
        <v/>
      </c>
    </row>
    <row r="188" spans="1:11" ht="36" x14ac:dyDescent="0.3">
      <c r="A188" s="128" t="s">
        <v>602</v>
      </c>
    </row>
    <row r="189" spans="1:11" outlineLevel="1" x14ac:dyDescent="0.3">
      <c r="A189"/>
      <c r="B189"/>
      <c r="C189"/>
      <c r="D189"/>
      <c r="E189"/>
      <c r="F189"/>
      <c r="G189"/>
      <c r="H189"/>
      <c r="I189"/>
      <c r="J189"/>
      <c r="K189"/>
    </row>
    <row r="190" spans="1:11" outlineLevel="1" x14ac:dyDescent="0.3">
      <c r="A190"/>
      <c r="B190"/>
      <c r="C190"/>
      <c r="D190"/>
      <c r="E190"/>
      <c r="F190"/>
      <c r="G190"/>
      <c r="H190"/>
      <c r="I190"/>
      <c r="J190"/>
      <c r="K190"/>
    </row>
    <row r="191" spans="1:11" collapsed="1" x14ac:dyDescent="0.3"/>
    <row r="193" spans="1:11" ht="36" x14ac:dyDescent="0.3">
      <c r="A193" s="128" t="s">
        <v>603</v>
      </c>
    </row>
    <row r="194" spans="1:11" outlineLevel="1" x14ac:dyDescent="0.3">
      <c r="A194"/>
      <c r="B194"/>
      <c r="C194"/>
      <c r="D194"/>
      <c r="E194"/>
      <c r="F194"/>
      <c r="G194"/>
      <c r="H194"/>
      <c r="I194"/>
      <c r="J194"/>
      <c r="K194"/>
    </row>
    <row r="195" spans="1:11" outlineLevel="1" x14ac:dyDescent="0.3">
      <c r="A195"/>
      <c r="B195"/>
      <c r="C195"/>
      <c r="D195"/>
      <c r="E195"/>
      <c r="F195"/>
      <c r="G195"/>
      <c r="H195"/>
      <c r="I195"/>
      <c r="J195"/>
      <c r="K195"/>
    </row>
    <row r="196" spans="1:11" collapsed="1" x14ac:dyDescent="0.3"/>
    <row r="198" spans="1:11" ht="18" x14ac:dyDescent="0.35">
      <c r="A198" s="122" t="s">
        <v>687</v>
      </c>
    </row>
    <row r="199" spans="1:11" outlineLevel="1" x14ac:dyDescent="0.3">
      <c r="A199" s="215" t="s">
        <v>530</v>
      </c>
      <c r="B199" s="215" t="s">
        <v>533</v>
      </c>
      <c r="C199" s="110" t="s">
        <v>629</v>
      </c>
      <c r="D199" s="110" t="s">
        <v>667</v>
      </c>
    </row>
    <row r="200" spans="1:11" outlineLevel="1" x14ac:dyDescent="0.3">
      <c r="A200" s="215">
        <v>1</v>
      </c>
      <c r="B200" s="215" t="str" cm="1">
        <f t="array" ref="B200">IFERROR(INDEX(materials_notes[[#This Row],[Empty line]:[Amount not specified]],1,MATCH(TRUE,LEN(materials_notes[[#This Row],[Empty line]:[Amount not specified]])&gt;0,0)),"")</f>
        <v/>
      </c>
      <c r="C200" s="110" t="str">
        <f>IFERROR(IF(AND(empty_lines="no",LEN(INDEX(materials[Description],materials_notes[[#This Row],[Row nr]]))=0,LEN(INDEX(materials[Description],materials_notes[[#This Row],[Row nr]]+1))&gt;0),$B$34,""),"")</f>
        <v/>
      </c>
      <c r="D200" s="110" t="str">
        <f>IF(AND(LEN(INDEX(materials[Description],materials_notes[[#This Row],[Row nr]]))&gt;0,LEN(INDEX(materials[Amount],materials_notes[[#This Row],[Row nr]]))=0),$B$49,"")</f>
        <v/>
      </c>
    </row>
    <row r="201" spans="1:11" outlineLevel="1" x14ac:dyDescent="0.3">
      <c r="A201" s="215">
        <v>2</v>
      </c>
      <c r="B201" s="215" t="str" cm="1">
        <f t="array" ref="B201">IFERROR(INDEX(materials_notes[[#This Row],[Empty line]:[Amount not specified]],1,MATCH(TRUE,LEN(materials_notes[[#This Row],[Empty line]:[Amount not specified]])&gt;0,0)),"")</f>
        <v/>
      </c>
      <c r="C201" s="110" t="str">
        <f>IFERROR(IF(AND(empty_lines="no",LEN(INDEX(materials[Description],materials_notes[[#This Row],[Row nr]]))=0,LEN(INDEX(materials[Description],materials_notes[[#This Row],[Row nr]]+1))&gt;0),$B$34,""),"")</f>
        <v/>
      </c>
      <c r="D201" s="110" t="str">
        <f>IF(AND(LEN(INDEX(materials[Description],materials_notes[[#This Row],[Row nr]]))&gt;0,LEN(INDEX(materials[Amount],materials_notes[[#This Row],[Row nr]]))=0),$B$49,"")</f>
        <v/>
      </c>
    </row>
    <row r="202" spans="1:11" outlineLevel="1" x14ac:dyDescent="0.3">
      <c r="A202" s="215">
        <v>3</v>
      </c>
      <c r="B202" s="215" t="str" cm="1">
        <f t="array" ref="B202">IFERROR(INDEX(materials_notes[[#This Row],[Empty line]:[Amount not specified]],1,MATCH(TRUE,LEN(materials_notes[[#This Row],[Empty line]:[Amount not specified]])&gt;0,0)),"")</f>
        <v/>
      </c>
      <c r="C202" s="110" t="str">
        <f>IFERROR(IF(AND(empty_lines="no",LEN(INDEX(materials[Description],materials_notes[[#This Row],[Row nr]]))=0,LEN(INDEX(materials[Description],materials_notes[[#This Row],[Row nr]]+1))&gt;0),$B$34,""),"")</f>
        <v/>
      </c>
      <c r="D202" s="110" t="str">
        <f>IF(AND(LEN(INDEX(materials[Description],materials_notes[[#This Row],[Row nr]]))&gt;0,LEN(INDEX(materials[Amount],materials_notes[[#This Row],[Row nr]]))=0),$B$49,"")</f>
        <v/>
      </c>
    </row>
    <row r="203" spans="1:11" outlineLevel="1" x14ac:dyDescent="0.3">
      <c r="A203" s="215">
        <v>4</v>
      </c>
      <c r="B203" s="215" t="str" cm="1">
        <f t="array" ref="B203">IFERROR(INDEX(materials_notes[[#This Row],[Empty line]:[Amount not specified]],1,MATCH(TRUE,LEN(materials_notes[[#This Row],[Empty line]:[Amount not specified]])&gt;0,0)),"")</f>
        <v/>
      </c>
      <c r="C203" s="110" t="str">
        <f>IFERROR(IF(AND(empty_lines="no",LEN(INDEX(materials[Description],materials_notes[[#This Row],[Row nr]]))=0,LEN(INDEX(materials[Description],materials_notes[[#This Row],[Row nr]]+1))&gt;0),$B$34,""),"")</f>
        <v/>
      </c>
      <c r="D203" s="110" t="str">
        <f>IF(AND(LEN(INDEX(materials[Description],materials_notes[[#This Row],[Row nr]]))&gt;0,LEN(INDEX(materials[Amount],materials_notes[[#This Row],[Row nr]]))=0),$B$49,"")</f>
        <v/>
      </c>
    </row>
    <row r="204" spans="1:11" outlineLevel="1" x14ac:dyDescent="0.3">
      <c r="A204" s="215">
        <v>5</v>
      </c>
      <c r="B204" s="215" t="str" cm="1">
        <f t="array" ref="B204">IFERROR(INDEX(materials_notes[[#This Row],[Empty line]:[Amount not specified]],1,MATCH(TRUE,LEN(materials_notes[[#This Row],[Empty line]:[Amount not specified]])&gt;0,0)),"")</f>
        <v/>
      </c>
      <c r="C204" s="110" t="str">
        <f>IFERROR(IF(AND(empty_lines="no",LEN(INDEX(materials[Description],materials_notes[[#This Row],[Row nr]]))=0,LEN(INDEX(materials[Description],materials_notes[[#This Row],[Row nr]]+1))&gt;0),$B$34,""),"")</f>
        <v/>
      </c>
      <c r="D204" s="110" t="str">
        <f>IF(AND(LEN(INDEX(materials[Description],materials_notes[[#This Row],[Row nr]]))&gt;0,LEN(INDEX(materials[Amount],materials_notes[[#This Row],[Row nr]]))=0),$B$49,"")</f>
        <v/>
      </c>
    </row>
    <row r="205" spans="1:11" outlineLevel="1" x14ac:dyDescent="0.3">
      <c r="A205" s="215">
        <v>6</v>
      </c>
      <c r="B205" s="215" t="str" cm="1">
        <f t="array" ref="B205">IFERROR(INDEX(materials_notes[[#This Row],[Empty line]:[Amount not specified]],1,MATCH(TRUE,LEN(materials_notes[[#This Row],[Empty line]:[Amount not specified]])&gt;0,0)),"")</f>
        <v/>
      </c>
      <c r="C205" s="110" t="str">
        <f>IFERROR(IF(AND(empty_lines="no",LEN(INDEX(materials[Description],materials_notes[[#This Row],[Row nr]]))=0,LEN(INDEX(materials[Description],materials_notes[[#This Row],[Row nr]]+1))&gt;0),$B$34,""),"")</f>
        <v/>
      </c>
      <c r="D205" s="110" t="str">
        <f>IF(AND(LEN(INDEX(materials[Description],materials_notes[[#This Row],[Row nr]]))&gt;0,LEN(INDEX(materials[Amount],materials_notes[[#This Row],[Row nr]]))=0),$B$49,"")</f>
        <v/>
      </c>
    </row>
    <row r="206" spans="1:11" outlineLevel="1" x14ac:dyDescent="0.3">
      <c r="A206" s="215">
        <v>7</v>
      </c>
      <c r="B206" s="215" t="str" cm="1">
        <f t="array" ref="B206">IFERROR(INDEX(materials_notes[[#This Row],[Empty line]:[Amount not specified]],1,MATCH(TRUE,LEN(materials_notes[[#This Row],[Empty line]:[Amount not specified]])&gt;0,0)),"")</f>
        <v/>
      </c>
      <c r="C206" s="110" t="str">
        <f>IFERROR(IF(AND(empty_lines="no",LEN(INDEX(materials[Description],materials_notes[[#This Row],[Row nr]]))=0,LEN(INDEX(materials[Description],materials_notes[[#This Row],[Row nr]]+1))&gt;0),$B$34,""),"")</f>
        <v/>
      </c>
      <c r="D206" s="110" t="str">
        <f>IF(AND(LEN(INDEX(materials[Description],materials_notes[[#This Row],[Row nr]]))&gt;0,LEN(INDEX(materials[Amount],materials_notes[[#This Row],[Row nr]]))=0),$B$49,"")</f>
        <v/>
      </c>
    </row>
    <row r="207" spans="1:11" outlineLevel="1" x14ac:dyDescent="0.3">
      <c r="A207" s="215">
        <v>8</v>
      </c>
      <c r="B207" s="215" t="str" cm="1">
        <f t="array" ref="B207">IFERROR(INDEX(materials_notes[[#This Row],[Empty line]:[Amount not specified]],1,MATCH(TRUE,LEN(materials_notes[[#This Row],[Empty line]:[Amount not specified]])&gt;0,0)),"")</f>
        <v/>
      </c>
      <c r="C207" s="110" t="str">
        <f>IFERROR(IF(AND(empty_lines="no",LEN(INDEX(materials[Description],materials_notes[[#This Row],[Row nr]]))=0,LEN(INDEX(materials[Description],materials_notes[[#This Row],[Row nr]]+1))&gt;0),$B$34,""),"")</f>
        <v/>
      </c>
      <c r="D207" s="110" t="str">
        <f>IF(AND(LEN(INDEX(materials[Description],materials_notes[[#This Row],[Row nr]]))&gt;0,LEN(INDEX(materials[Amount],materials_notes[[#This Row],[Row nr]]))=0),$B$49,"")</f>
        <v/>
      </c>
    </row>
    <row r="208" spans="1:11" outlineLevel="1" x14ac:dyDescent="0.3">
      <c r="A208" s="215">
        <v>9</v>
      </c>
      <c r="B208" s="215" t="str" cm="1">
        <f t="array" ref="B208">IFERROR(INDEX(materials_notes[[#This Row],[Empty line]:[Amount not specified]],1,MATCH(TRUE,LEN(materials_notes[[#This Row],[Empty line]:[Amount not specified]])&gt;0,0)),"")</f>
        <v/>
      </c>
      <c r="C208" s="110" t="str">
        <f>IFERROR(IF(AND(empty_lines="no",LEN(INDEX(materials[Description],materials_notes[[#This Row],[Row nr]]))=0,LEN(INDEX(materials[Description],materials_notes[[#This Row],[Row nr]]+1))&gt;0),$B$34,""),"")</f>
        <v/>
      </c>
      <c r="D208" s="110" t="str">
        <f>IF(AND(LEN(INDEX(materials[Description],materials_notes[[#This Row],[Row nr]]))&gt;0,LEN(INDEX(materials[Amount],materials_notes[[#This Row],[Row nr]]))=0),$B$49,"")</f>
        <v/>
      </c>
    </row>
    <row r="209" spans="1:4" outlineLevel="1" x14ac:dyDescent="0.3">
      <c r="A209" s="215">
        <v>10</v>
      </c>
      <c r="B209" s="215" t="str" cm="1">
        <f t="array" ref="B209">IFERROR(INDEX(materials_notes[[#This Row],[Empty line]:[Amount not specified]],1,MATCH(TRUE,LEN(materials_notes[[#This Row],[Empty line]:[Amount not specified]])&gt;0,0)),"")</f>
        <v/>
      </c>
      <c r="C209" s="110" t="str">
        <f>IFERROR(IF(AND(empty_lines="no",LEN(INDEX(materials[Description],materials_notes[[#This Row],[Row nr]]))=0,LEN(INDEX(materials[Description],materials_notes[[#This Row],[Row nr]]+1))&gt;0),$B$34,""),"")</f>
        <v/>
      </c>
      <c r="D209" s="110" t="str">
        <f>IF(AND(LEN(INDEX(materials[Description],materials_notes[[#This Row],[Row nr]]))&gt;0,LEN(INDEX(materials[Amount],materials_notes[[#This Row],[Row nr]]))=0),$B$49,"")</f>
        <v/>
      </c>
    </row>
    <row r="210" spans="1:4" outlineLevel="1" x14ac:dyDescent="0.3">
      <c r="A210" s="215">
        <v>11</v>
      </c>
      <c r="B210" s="215" t="str" cm="1">
        <f t="array" ref="B210">IFERROR(INDEX(materials_notes[[#This Row],[Empty line]:[Amount not specified]],1,MATCH(TRUE,LEN(materials_notes[[#This Row],[Empty line]:[Amount not specified]])&gt;0,0)),"")</f>
        <v/>
      </c>
      <c r="C210" s="110" t="str">
        <f>IFERROR(IF(AND(empty_lines="no",LEN(INDEX(materials[Description],materials_notes[[#This Row],[Row nr]]))=0,LEN(INDEX(materials[Description],materials_notes[[#This Row],[Row nr]]+1))&gt;0),$B$34,""),"")</f>
        <v/>
      </c>
      <c r="D210" s="110" t="str">
        <f>IF(AND(LEN(INDEX(materials[Description],materials_notes[[#This Row],[Row nr]]))&gt;0,LEN(INDEX(materials[Amount],materials_notes[[#This Row],[Row nr]]))=0),$B$49,"")</f>
        <v/>
      </c>
    </row>
    <row r="211" spans="1:4" outlineLevel="1" x14ac:dyDescent="0.3">
      <c r="A211" s="215">
        <v>12</v>
      </c>
      <c r="B211" s="215" t="str" cm="1">
        <f t="array" ref="B211">IFERROR(INDEX(materials_notes[[#This Row],[Empty line]:[Amount not specified]],1,MATCH(TRUE,LEN(materials_notes[[#This Row],[Empty line]:[Amount not specified]])&gt;0,0)),"")</f>
        <v/>
      </c>
      <c r="C211" s="110" t="str">
        <f>IFERROR(IF(AND(empty_lines="no",LEN(INDEX(materials[Description],materials_notes[[#This Row],[Row nr]]))=0,LEN(INDEX(materials[Description],materials_notes[[#This Row],[Row nr]]+1))&gt;0),$B$34,""),"")</f>
        <v/>
      </c>
      <c r="D211" s="110" t="str">
        <f>IF(AND(LEN(INDEX(materials[Description],materials_notes[[#This Row],[Row nr]]))&gt;0,LEN(INDEX(materials[Amount],materials_notes[[#This Row],[Row nr]]))=0),$B$49,"")</f>
        <v/>
      </c>
    </row>
    <row r="212" spans="1:4" outlineLevel="1" x14ac:dyDescent="0.3">
      <c r="A212" s="215">
        <v>13</v>
      </c>
      <c r="B212" s="215" t="str" cm="1">
        <f t="array" ref="B212">IFERROR(INDEX(materials_notes[[#This Row],[Empty line]:[Amount not specified]],1,MATCH(TRUE,LEN(materials_notes[[#This Row],[Empty line]:[Amount not specified]])&gt;0,0)),"")</f>
        <v/>
      </c>
      <c r="C212" s="110" t="str">
        <f>IFERROR(IF(AND(empty_lines="no",LEN(INDEX(materials[Description],materials_notes[[#This Row],[Row nr]]))=0,LEN(INDEX(materials[Description],materials_notes[[#This Row],[Row nr]]+1))&gt;0),$B$34,""),"")</f>
        <v/>
      </c>
      <c r="D212" s="110" t="str">
        <f>IF(AND(LEN(INDEX(materials[Description],materials_notes[[#This Row],[Row nr]]))&gt;0,LEN(INDEX(materials[Amount],materials_notes[[#This Row],[Row nr]]))=0),$B$49,"")</f>
        <v/>
      </c>
    </row>
    <row r="213" spans="1:4" outlineLevel="1" x14ac:dyDescent="0.3">
      <c r="A213" s="215">
        <v>14</v>
      </c>
      <c r="B213" s="215" t="str" cm="1">
        <f t="array" ref="B213">IFERROR(INDEX(materials_notes[[#This Row],[Empty line]:[Amount not specified]],1,MATCH(TRUE,LEN(materials_notes[[#This Row],[Empty line]:[Amount not specified]])&gt;0,0)),"")</f>
        <v/>
      </c>
      <c r="C213" s="110" t="str">
        <f>IFERROR(IF(AND(empty_lines="no",LEN(INDEX(materials[Description],materials_notes[[#This Row],[Row nr]]))=0,LEN(INDEX(materials[Description],materials_notes[[#This Row],[Row nr]]+1))&gt;0),$B$34,""),"")</f>
        <v/>
      </c>
      <c r="D213" s="110" t="str">
        <f>IF(AND(LEN(INDEX(materials[Description],materials_notes[[#This Row],[Row nr]]))&gt;0,LEN(INDEX(materials[Amount],materials_notes[[#This Row],[Row nr]]))=0),$B$49,"")</f>
        <v/>
      </c>
    </row>
    <row r="214" spans="1:4" outlineLevel="1" x14ac:dyDescent="0.3">
      <c r="A214" s="215">
        <v>15</v>
      </c>
      <c r="B214" s="215" t="str" cm="1">
        <f t="array" ref="B214">IFERROR(INDEX(materials_notes[[#This Row],[Empty line]:[Amount not specified]],1,MATCH(TRUE,LEN(materials_notes[[#This Row],[Empty line]:[Amount not specified]])&gt;0,0)),"")</f>
        <v/>
      </c>
      <c r="C214" s="110" t="str">
        <f>IFERROR(IF(AND(empty_lines="no",LEN(INDEX(materials[Description],materials_notes[[#This Row],[Row nr]]))=0,LEN(INDEX(materials[Description],materials_notes[[#This Row],[Row nr]]+1))&gt;0),$B$34,""),"")</f>
        <v/>
      </c>
      <c r="D214" s="110" t="str">
        <f>IF(AND(LEN(INDEX(materials[Description],materials_notes[[#This Row],[Row nr]]))&gt;0,LEN(INDEX(materials[Amount],materials_notes[[#This Row],[Row nr]]))=0),$B$49,"")</f>
        <v/>
      </c>
    </row>
    <row r="215" spans="1:4" outlineLevel="1" x14ac:dyDescent="0.3">
      <c r="A215" s="215">
        <v>16</v>
      </c>
      <c r="B215" s="215" t="str" cm="1">
        <f t="array" ref="B215">IFERROR(INDEX(materials_notes[[#This Row],[Empty line]:[Amount not specified]],1,MATCH(TRUE,LEN(materials_notes[[#This Row],[Empty line]:[Amount not specified]])&gt;0,0)),"")</f>
        <v/>
      </c>
      <c r="C215" s="110" t="str">
        <f>IFERROR(IF(AND(empty_lines="no",LEN(INDEX(materials[Description],materials_notes[[#This Row],[Row nr]]))=0,LEN(INDEX(materials[Description],materials_notes[[#This Row],[Row nr]]+1))&gt;0),$B$34,""),"")</f>
        <v/>
      </c>
      <c r="D215" s="110" t="str">
        <f>IF(AND(LEN(INDEX(materials[Description],materials_notes[[#This Row],[Row nr]]))&gt;0,LEN(INDEX(materials[Amount],materials_notes[[#This Row],[Row nr]]))=0),$B$49,"")</f>
        <v/>
      </c>
    </row>
    <row r="216" spans="1:4" outlineLevel="1" x14ac:dyDescent="0.3">
      <c r="A216" s="215">
        <v>17</v>
      </c>
      <c r="B216" s="215" t="str" cm="1">
        <f t="array" ref="B216">IFERROR(INDEX(materials_notes[[#This Row],[Empty line]:[Amount not specified]],1,MATCH(TRUE,LEN(materials_notes[[#This Row],[Empty line]:[Amount not specified]])&gt;0,0)),"")</f>
        <v/>
      </c>
      <c r="C216" s="110" t="str">
        <f>IFERROR(IF(AND(empty_lines="no",LEN(INDEX(materials[Description],materials_notes[[#This Row],[Row nr]]))=0,LEN(INDEX(materials[Description],materials_notes[[#This Row],[Row nr]]+1))&gt;0),$B$34,""),"")</f>
        <v/>
      </c>
      <c r="D216" s="110" t="str">
        <f>IF(AND(LEN(INDEX(materials[Description],materials_notes[[#This Row],[Row nr]]))&gt;0,LEN(INDEX(materials[Amount],materials_notes[[#This Row],[Row nr]]))=0),$B$49,"")</f>
        <v/>
      </c>
    </row>
    <row r="217" spans="1:4" outlineLevel="1" x14ac:dyDescent="0.3">
      <c r="A217" s="215">
        <v>18</v>
      </c>
      <c r="B217" s="215" t="str" cm="1">
        <f t="array" ref="B217">IFERROR(INDEX(materials_notes[[#This Row],[Empty line]:[Amount not specified]],1,MATCH(TRUE,LEN(materials_notes[[#This Row],[Empty line]:[Amount not specified]])&gt;0,0)),"")</f>
        <v/>
      </c>
      <c r="C217" s="110" t="str">
        <f>IFERROR(IF(AND(empty_lines="no",LEN(INDEX(materials[Description],materials_notes[[#This Row],[Row nr]]))=0,LEN(INDEX(materials[Description],materials_notes[[#This Row],[Row nr]]+1))&gt;0),$B$34,""),"")</f>
        <v/>
      </c>
      <c r="D217" s="110" t="str">
        <f>IF(AND(LEN(INDEX(materials[Description],materials_notes[[#This Row],[Row nr]]))&gt;0,LEN(INDEX(materials[Amount],materials_notes[[#This Row],[Row nr]]))=0),$B$49,"")</f>
        <v/>
      </c>
    </row>
    <row r="218" spans="1:4" outlineLevel="1" x14ac:dyDescent="0.3">
      <c r="A218" s="215">
        <v>19</v>
      </c>
      <c r="B218" s="215" t="str" cm="1">
        <f t="array" ref="B218">IFERROR(INDEX(materials_notes[[#This Row],[Empty line]:[Amount not specified]],1,MATCH(TRUE,LEN(materials_notes[[#This Row],[Empty line]:[Amount not specified]])&gt;0,0)),"")</f>
        <v/>
      </c>
      <c r="C218" s="110" t="str">
        <f>IFERROR(IF(AND(empty_lines="no",LEN(INDEX(materials[Description],materials_notes[[#This Row],[Row nr]]))=0,LEN(INDEX(materials[Description],materials_notes[[#This Row],[Row nr]]+1))&gt;0),$B$34,""),"")</f>
        <v/>
      </c>
      <c r="D218" s="110" t="str">
        <f>IF(AND(LEN(INDEX(materials[Description],materials_notes[[#This Row],[Row nr]]))&gt;0,LEN(INDEX(materials[Amount],materials_notes[[#This Row],[Row nr]]))=0),$B$49,"")</f>
        <v/>
      </c>
    </row>
    <row r="219" spans="1:4" outlineLevel="1" x14ac:dyDescent="0.3">
      <c r="A219" s="215">
        <v>20</v>
      </c>
      <c r="B219" s="215" t="str" cm="1">
        <f t="array" ref="B219">IFERROR(INDEX(materials_notes[[#This Row],[Empty line]:[Amount not specified]],1,MATCH(TRUE,LEN(materials_notes[[#This Row],[Empty line]:[Amount not specified]])&gt;0,0)),"")</f>
        <v/>
      </c>
      <c r="C219" s="110" t="str">
        <f>IFERROR(IF(AND(empty_lines="no",LEN(INDEX(materials[Description],materials_notes[[#This Row],[Row nr]]))=0,LEN(INDEX(materials[Description],materials_notes[[#This Row],[Row nr]]+1))&gt;0),$B$34,""),"")</f>
        <v/>
      </c>
      <c r="D219" s="110" t="str">
        <f>IF(AND(LEN(INDEX(materials[Description],materials_notes[[#This Row],[Row nr]]))&gt;0,LEN(INDEX(materials[Amount],materials_notes[[#This Row],[Row nr]]))=0),$B$49,"")</f>
        <v/>
      </c>
    </row>
    <row r="220" spans="1:4" outlineLevel="1" x14ac:dyDescent="0.3">
      <c r="A220" s="215">
        <v>21</v>
      </c>
      <c r="B220" s="215" t="str" cm="1">
        <f t="array" ref="B220">IFERROR(INDEX(materials_notes[[#This Row],[Empty line]:[Amount not specified]],1,MATCH(TRUE,LEN(materials_notes[[#This Row],[Empty line]:[Amount not specified]])&gt;0,0)),"")</f>
        <v/>
      </c>
      <c r="C220" s="110" t="str">
        <f>IFERROR(IF(AND(empty_lines="no",LEN(INDEX(materials[Description],materials_notes[[#This Row],[Row nr]]))=0,LEN(INDEX(materials[Description],materials_notes[[#This Row],[Row nr]]+1))&gt;0),$B$34,""),"")</f>
        <v/>
      </c>
      <c r="D220" s="110" t="str">
        <f>IF(AND(LEN(INDEX(materials[Description],materials_notes[[#This Row],[Row nr]]))&gt;0,LEN(INDEX(materials[Amount],materials_notes[[#This Row],[Row nr]]))=0),$B$49,"")</f>
        <v/>
      </c>
    </row>
    <row r="221" spans="1:4" outlineLevel="1" x14ac:dyDescent="0.3">
      <c r="A221" s="215">
        <v>22</v>
      </c>
      <c r="B221" s="215" t="str" cm="1">
        <f t="array" ref="B221">IFERROR(INDEX(materials_notes[[#This Row],[Empty line]:[Amount not specified]],1,MATCH(TRUE,LEN(materials_notes[[#This Row],[Empty line]:[Amount not specified]])&gt;0,0)),"")</f>
        <v/>
      </c>
      <c r="C221" s="110" t="str">
        <f>IFERROR(IF(AND(empty_lines="no",LEN(INDEX(materials[Description],materials_notes[[#This Row],[Row nr]]))=0,LEN(INDEX(materials[Description],materials_notes[[#This Row],[Row nr]]+1))&gt;0),$B$34,""),"")</f>
        <v/>
      </c>
      <c r="D221" s="110" t="str">
        <f>IF(AND(LEN(INDEX(materials[Description],materials_notes[[#This Row],[Row nr]]))&gt;0,LEN(INDEX(materials[Amount],materials_notes[[#This Row],[Row nr]]))=0),$B$49,"")</f>
        <v/>
      </c>
    </row>
    <row r="222" spans="1:4" outlineLevel="1" x14ac:dyDescent="0.3">
      <c r="A222" s="215">
        <v>23</v>
      </c>
      <c r="B222" s="215" t="str" cm="1">
        <f t="array" ref="B222">IFERROR(INDEX(materials_notes[[#This Row],[Empty line]:[Amount not specified]],1,MATCH(TRUE,LEN(materials_notes[[#This Row],[Empty line]:[Amount not specified]])&gt;0,0)),"")</f>
        <v/>
      </c>
      <c r="C222" s="110" t="str">
        <f>IFERROR(IF(AND(empty_lines="no",LEN(INDEX(materials[Description],materials_notes[[#This Row],[Row nr]]))=0,LEN(INDEX(materials[Description],materials_notes[[#This Row],[Row nr]]+1))&gt;0),$B$34,""),"")</f>
        <v/>
      </c>
      <c r="D222" s="110" t="str">
        <f>IF(AND(LEN(INDEX(materials[Description],materials_notes[[#This Row],[Row nr]]))&gt;0,LEN(INDEX(materials[Amount],materials_notes[[#This Row],[Row nr]]))=0),$B$49,"")</f>
        <v/>
      </c>
    </row>
    <row r="223" spans="1:4" outlineLevel="1" x14ac:dyDescent="0.3">
      <c r="A223" s="215">
        <v>24</v>
      </c>
      <c r="B223" s="215" t="str" cm="1">
        <f t="array" ref="B223">IFERROR(INDEX(materials_notes[[#This Row],[Empty line]:[Amount not specified]],1,MATCH(TRUE,LEN(materials_notes[[#This Row],[Empty line]:[Amount not specified]])&gt;0,0)),"")</f>
        <v/>
      </c>
      <c r="C223" s="110" t="str">
        <f>IFERROR(IF(AND(empty_lines="no",LEN(INDEX(materials[Description],materials_notes[[#This Row],[Row nr]]))=0,LEN(INDEX(materials[Description],materials_notes[[#This Row],[Row nr]]+1))&gt;0),$B$34,""),"")</f>
        <v/>
      </c>
      <c r="D223" s="110" t="str">
        <f>IF(AND(LEN(INDEX(materials[Description],materials_notes[[#This Row],[Row nr]]))&gt;0,LEN(INDEX(materials[Amount],materials_notes[[#This Row],[Row nr]]))=0),$B$49,"")</f>
        <v/>
      </c>
    </row>
    <row r="224" spans="1:4" outlineLevel="1" x14ac:dyDescent="0.3">
      <c r="A224" s="215">
        <v>25</v>
      </c>
      <c r="B224" s="215" t="str" cm="1">
        <f t="array" ref="B224">IFERROR(INDEX(materials_notes[[#This Row],[Empty line]:[Amount not specified]],1,MATCH(TRUE,LEN(materials_notes[[#This Row],[Empty line]:[Amount not specified]])&gt;0,0)),"")</f>
        <v/>
      </c>
      <c r="C224" s="110" t="str">
        <f>IFERROR(IF(AND(empty_lines="no",LEN(INDEX(materials[Description],materials_notes[[#This Row],[Row nr]]))=0,LEN(INDEX(materials[Description],materials_notes[[#This Row],[Row nr]]+1))&gt;0),$B$34,""),"")</f>
        <v/>
      </c>
      <c r="D224" s="110" t="str">
        <f>IF(AND(LEN(INDEX(materials[Description],materials_notes[[#This Row],[Row nr]]))&gt;0,LEN(INDEX(materials[Amount],materials_notes[[#This Row],[Row nr]]))=0),$B$49,"")</f>
        <v/>
      </c>
    </row>
    <row r="227" spans="1:5" ht="18" x14ac:dyDescent="0.35">
      <c r="A227" s="122" t="s">
        <v>691</v>
      </c>
    </row>
    <row r="228" spans="1:5" x14ac:dyDescent="0.3">
      <c r="A228" s="265" t="s">
        <v>530</v>
      </c>
      <c r="B228" s="265" t="s">
        <v>533</v>
      </c>
      <c r="C228" s="164" t="s">
        <v>629</v>
      </c>
      <c r="D228" s="164" t="s">
        <v>693</v>
      </c>
      <c r="E228" s="164" t="s">
        <v>694</v>
      </c>
    </row>
    <row r="229" spans="1:5" x14ac:dyDescent="0.3">
      <c r="A229" s="261">
        <v>1</v>
      </c>
      <c r="B229" s="215" t="str" cm="1">
        <f t="array" aca="1" ref="B229" ca="1">IFERROR(INDEX(KU_notes[[#This Row],[Empty line]:[Amount not provided]],1,MATCH(TRUE,LEN(KU_notes[[#This Row],[Empty line]:[Amount not provided]])&gt;0,0)),"")</f>
        <v/>
      </c>
      <c r="C229" s="262" t="str">
        <f>IFERROR(IF(AND(empty_lines="no",LEN(INDEX(knowledge_utilisation[Description],KU_notes[[#This Row],[Row nr]]))=0,LEN(INDEX(knowledge_utilisation[Description],KU_notes[[#This Row],[Row nr]]+1))&gt;0),$B$34,""),"")</f>
        <v/>
      </c>
      <c r="D229" s="262" t="str" cm="1">
        <f t="array" aca="1" ref="D229" ca="1">IF(AND(INDEX(knowledge_utilisation[Amount],KU_notes[[#This Row],[Row nr]])&gt;0,SUM(knowledge_utilisation[Amount])&gt;KU_maxperc*Total_NWO_funding),$B$51,"")</f>
        <v/>
      </c>
      <c r="E229" s="262" t="str">
        <f>IF(AND(LEN(INDEX(knowledge_utilisation[Description],KU_notes[[#This Row],[Row nr]]))&gt;0,INDEX(knowledge_utilisation[Amount],KU_notes[[#This Row],[Row nr]])=0),$B$52,"")</f>
        <v/>
      </c>
    </row>
    <row r="230" spans="1:5" x14ac:dyDescent="0.3">
      <c r="A230" s="263">
        <v>2</v>
      </c>
      <c r="B230" s="215" t="str" cm="1">
        <f t="array" aca="1" ref="B230" ca="1">IFERROR(INDEX(KU_notes[[#This Row],[Empty line]:[Amount not provided]],1,MATCH(TRUE,LEN(KU_notes[[#This Row],[Empty line]:[Amount not provided]])&gt;0,0)),"")</f>
        <v/>
      </c>
      <c r="C230" s="264" t="str">
        <f>IFERROR(IF(AND(empty_lines="no",LEN(INDEX(knowledge_utilisation[Description],KU_notes[[#This Row],[Row nr]]))=0,LEN(INDEX(knowledge_utilisation[Description],KU_notes[[#This Row],[Row nr]]+1))&gt;0),$B$34,""),"")</f>
        <v/>
      </c>
      <c r="D230" s="264" t="str" cm="1">
        <f t="array" aca="1" ref="D230" ca="1">IF(AND(INDEX(knowledge_utilisation[Amount],KU_notes[[#This Row],[Row nr]])&gt;0,SUM(knowledge_utilisation[Amount])&gt;KU_maxperc*Total_NWO_funding),$B$51,"")</f>
        <v/>
      </c>
      <c r="E230" s="264" t="str">
        <f>IF(AND(LEN(INDEX(knowledge_utilisation[Description],KU_notes[[#This Row],[Row nr]]))&gt;0,INDEX(knowledge_utilisation[Amount],KU_notes[[#This Row],[Row nr]])=0),$B$52,"")</f>
        <v/>
      </c>
    </row>
    <row r="231" spans="1:5" x14ac:dyDescent="0.3">
      <c r="A231" s="261">
        <v>3</v>
      </c>
      <c r="B231" s="215" t="str" cm="1">
        <f t="array" aca="1" ref="B231" ca="1">IFERROR(INDEX(KU_notes[[#This Row],[Empty line]:[Amount not provided]],1,MATCH(TRUE,LEN(KU_notes[[#This Row],[Empty line]:[Amount not provided]])&gt;0,0)),"")</f>
        <v/>
      </c>
      <c r="C231" s="262" t="str">
        <f>IFERROR(IF(AND(empty_lines="no",LEN(INDEX(knowledge_utilisation[Description],KU_notes[[#This Row],[Row nr]]))=0,LEN(INDEX(knowledge_utilisation[Description],KU_notes[[#This Row],[Row nr]]+1))&gt;0),$B$34,""),"")</f>
        <v/>
      </c>
      <c r="D231" s="262" t="str" cm="1">
        <f t="array" aca="1" ref="D231" ca="1">IF(AND(INDEX(knowledge_utilisation[Amount],KU_notes[[#This Row],[Row nr]])&gt;0,SUM(knowledge_utilisation[Amount])&gt;KU_maxperc*Total_NWO_funding),$B$51,"")</f>
        <v/>
      </c>
      <c r="E231" s="262" t="str">
        <f>IF(AND(LEN(INDEX(knowledge_utilisation[Description],KU_notes[[#This Row],[Row nr]]))&gt;0,INDEX(knowledge_utilisation[Amount],KU_notes[[#This Row],[Row nr]])=0),$B$52,"")</f>
        <v/>
      </c>
    </row>
    <row r="232" spans="1:5" x14ac:dyDescent="0.3">
      <c r="A232" s="263">
        <v>4</v>
      </c>
      <c r="B232" s="215" t="str" cm="1">
        <f t="array" aca="1" ref="B232" ca="1">IFERROR(INDEX(KU_notes[[#This Row],[Empty line]:[Amount not provided]],1,MATCH(TRUE,LEN(KU_notes[[#This Row],[Empty line]:[Amount not provided]])&gt;0,0)),"")</f>
        <v/>
      </c>
      <c r="C232" s="264" t="str">
        <f>IFERROR(IF(AND(empty_lines="no",LEN(INDEX(knowledge_utilisation[Description],KU_notes[[#This Row],[Row nr]]))=0,LEN(INDEX(knowledge_utilisation[Description],KU_notes[[#This Row],[Row nr]]+1))&gt;0),$B$34,""),"")</f>
        <v/>
      </c>
      <c r="D232" s="264" t="str" cm="1">
        <f t="array" aca="1" ref="D232" ca="1">IF(AND(INDEX(knowledge_utilisation[Amount],KU_notes[[#This Row],[Row nr]])&gt;0,SUM(knowledge_utilisation[Amount])&gt;KU_maxperc*Total_NWO_funding),$B$51,"")</f>
        <v/>
      </c>
      <c r="E232" s="264" t="str">
        <f>IF(AND(LEN(INDEX(knowledge_utilisation[Description],KU_notes[[#This Row],[Row nr]]))&gt;0,INDEX(knowledge_utilisation[Amount],KU_notes[[#This Row],[Row nr]])=0),$B$52,"")</f>
        <v/>
      </c>
    </row>
    <row r="233" spans="1:5" x14ac:dyDescent="0.3">
      <c r="A233" s="261">
        <v>5</v>
      </c>
      <c r="B233" s="215" t="str" cm="1">
        <f t="array" aca="1" ref="B233" ca="1">IFERROR(INDEX(KU_notes[[#This Row],[Empty line]:[Amount not provided]],1,MATCH(TRUE,LEN(KU_notes[[#This Row],[Empty line]:[Amount not provided]])&gt;0,0)),"")</f>
        <v/>
      </c>
      <c r="C233" s="262" t="str">
        <f>IFERROR(IF(AND(empty_lines="no",LEN(INDEX(knowledge_utilisation[Description],KU_notes[[#This Row],[Row nr]]))=0,LEN(INDEX(knowledge_utilisation[Description],KU_notes[[#This Row],[Row nr]]+1))&gt;0),$B$34,""),"")</f>
        <v/>
      </c>
      <c r="D233" s="262" t="str" cm="1">
        <f t="array" aca="1" ref="D233" ca="1">IF(AND(INDEX(knowledge_utilisation[Amount],KU_notes[[#This Row],[Row nr]])&gt;0,SUM(knowledge_utilisation[Amount])&gt;KU_maxperc*Total_NWO_funding),$B$51,"")</f>
        <v/>
      </c>
      <c r="E233" s="262" t="str">
        <f>IF(AND(LEN(INDEX(knowledge_utilisation[Description],KU_notes[[#This Row],[Row nr]]))&gt;0,INDEX(knowledge_utilisation[Amount],KU_notes[[#This Row],[Row nr]])=0),$B$52,"")</f>
        <v/>
      </c>
    </row>
    <row r="234" spans="1:5" x14ac:dyDescent="0.3">
      <c r="A234" s="263">
        <v>6</v>
      </c>
      <c r="B234" s="215" t="str" cm="1">
        <f t="array" aca="1" ref="B234" ca="1">IFERROR(INDEX(KU_notes[[#This Row],[Empty line]:[Amount not provided]],1,MATCH(TRUE,LEN(KU_notes[[#This Row],[Empty line]:[Amount not provided]])&gt;0,0)),"")</f>
        <v/>
      </c>
      <c r="C234" s="264" t="str">
        <f>IFERROR(IF(AND(empty_lines="no",LEN(INDEX(knowledge_utilisation[Description],KU_notes[[#This Row],[Row nr]]))=0,LEN(INDEX(knowledge_utilisation[Description],KU_notes[[#This Row],[Row nr]]+1))&gt;0),$B$34,""),"")</f>
        <v/>
      </c>
      <c r="D234" s="264" t="str" cm="1">
        <f t="array" aca="1" ref="D234" ca="1">IF(AND(INDEX(knowledge_utilisation[Amount],KU_notes[[#This Row],[Row nr]])&gt;0,SUM(knowledge_utilisation[Amount])&gt;KU_maxperc*Total_NWO_funding),$B$51,"")</f>
        <v/>
      </c>
      <c r="E234" s="264" t="str">
        <f>IF(AND(LEN(INDEX(knowledge_utilisation[Description],KU_notes[[#This Row],[Row nr]]))&gt;0,INDEX(knowledge_utilisation[Amount],KU_notes[[#This Row],[Row nr]])=0),$B$52,"")</f>
        <v/>
      </c>
    </row>
    <row r="235" spans="1:5" x14ac:dyDescent="0.3">
      <c r="A235" s="261">
        <v>7</v>
      </c>
      <c r="B235" s="215" t="str" cm="1">
        <f t="array" aca="1" ref="B235" ca="1">IFERROR(INDEX(KU_notes[[#This Row],[Empty line]:[Amount not provided]],1,MATCH(TRUE,LEN(KU_notes[[#This Row],[Empty line]:[Amount not provided]])&gt;0,0)),"")</f>
        <v/>
      </c>
      <c r="C235" s="262" t="str">
        <f>IFERROR(IF(AND(empty_lines="no",LEN(INDEX(knowledge_utilisation[Description],KU_notes[[#This Row],[Row nr]]))=0,LEN(INDEX(knowledge_utilisation[Description],KU_notes[[#This Row],[Row nr]]+1))&gt;0),$B$34,""),"")</f>
        <v/>
      </c>
      <c r="D235" s="262" t="str" cm="1">
        <f t="array" aca="1" ref="D235" ca="1">IF(AND(INDEX(knowledge_utilisation[Amount],KU_notes[[#This Row],[Row nr]])&gt;0,SUM(knowledge_utilisation[Amount])&gt;KU_maxperc*Total_NWO_funding),$B$51,"")</f>
        <v/>
      </c>
      <c r="E235" s="262" t="str">
        <f>IF(AND(LEN(INDEX(knowledge_utilisation[Description],KU_notes[[#This Row],[Row nr]]))&gt;0,INDEX(knowledge_utilisation[Amount],KU_notes[[#This Row],[Row nr]])=0),$B$52,"")</f>
        <v/>
      </c>
    </row>
    <row r="236" spans="1:5" x14ac:dyDescent="0.3">
      <c r="A236" s="263">
        <v>8</v>
      </c>
      <c r="B236" s="215" t="str" cm="1">
        <f t="array" aca="1" ref="B236" ca="1">IFERROR(INDEX(KU_notes[[#This Row],[Empty line]:[Amount not provided]],1,MATCH(TRUE,LEN(KU_notes[[#This Row],[Empty line]:[Amount not provided]])&gt;0,0)),"")</f>
        <v/>
      </c>
      <c r="C236" s="264" t="str">
        <f>IFERROR(IF(AND(empty_lines="no",LEN(INDEX(knowledge_utilisation[Description],KU_notes[[#This Row],[Row nr]]))=0,LEN(INDEX(knowledge_utilisation[Description],KU_notes[[#This Row],[Row nr]]+1))&gt;0),$B$34,""),"")</f>
        <v/>
      </c>
      <c r="D236" s="264" t="str" cm="1">
        <f t="array" aca="1" ref="D236" ca="1">IF(AND(INDEX(knowledge_utilisation[Amount],KU_notes[[#This Row],[Row nr]])&gt;0,SUM(knowledge_utilisation[Amount])&gt;KU_maxperc*Total_NWO_funding),$B$51,"")</f>
        <v/>
      </c>
      <c r="E236" s="264" t="str">
        <f>IF(AND(LEN(INDEX(knowledge_utilisation[Description],KU_notes[[#This Row],[Row nr]]))&gt;0,INDEX(knowledge_utilisation[Amount],KU_notes[[#This Row],[Row nr]])=0),$B$52,"")</f>
        <v/>
      </c>
    </row>
    <row r="237" spans="1:5" x14ac:dyDescent="0.3">
      <c r="A237" s="261">
        <v>9</v>
      </c>
      <c r="B237" s="215" t="str" cm="1">
        <f t="array" aca="1" ref="B237" ca="1">IFERROR(INDEX(KU_notes[[#This Row],[Empty line]:[Amount not provided]],1,MATCH(TRUE,LEN(KU_notes[[#This Row],[Empty line]:[Amount not provided]])&gt;0,0)),"")</f>
        <v/>
      </c>
      <c r="C237" s="262" t="str">
        <f>IFERROR(IF(AND(empty_lines="no",LEN(INDEX(knowledge_utilisation[Description],KU_notes[[#This Row],[Row nr]]))=0,LEN(INDEX(knowledge_utilisation[Description],KU_notes[[#This Row],[Row nr]]+1))&gt;0),$B$34,""),"")</f>
        <v/>
      </c>
      <c r="D237" s="262" t="str" cm="1">
        <f t="array" aca="1" ref="D237" ca="1">IF(AND(INDEX(knowledge_utilisation[Amount],KU_notes[[#This Row],[Row nr]])&gt;0,SUM(knowledge_utilisation[Amount])&gt;KU_maxperc*Total_NWO_funding),$B$51,"")</f>
        <v/>
      </c>
      <c r="E237" s="262" t="str">
        <f>IF(AND(LEN(INDEX(knowledge_utilisation[Description],KU_notes[[#This Row],[Row nr]]))&gt;0,INDEX(knowledge_utilisation[Amount],KU_notes[[#This Row],[Row nr]])=0),$B$52,"")</f>
        <v/>
      </c>
    </row>
    <row r="238" spans="1:5" x14ac:dyDescent="0.3">
      <c r="A238" s="263">
        <v>10</v>
      </c>
      <c r="B238" s="215" t="str" cm="1">
        <f t="array" aca="1" ref="B238" ca="1">IFERROR(INDEX(KU_notes[[#This Row],[Empty line]:[Amount not provided]],1,MATCH(TRUE,LEN(KU_notes[[#This Row],[Empty line]:[Amount not provided]])&gt;0,0)),"")</f>
        <v/>
      </c>
      <c r="C238" s="264" t="str">
        <f>IFERROR(IF(AND(empty_lines="no",LEN(INDEX(knowledge_utilisation[Description],KU_notes[[#This Row],[Row nr]]))=0,LEN(INDEX(knowledge_utilisation[Description],KU_notes[[#This Row],[Row nr]]+1))&gt;0),$B$34,""),"")</f>
        <v/>
      </c>
      <c r="D238" s="264" t="str" cm="1">
        <f t="array" aca="1" ref="D238" ca="1">IF(AND(INDEX(knowledge_utilisation[Amount],KU_notes[[#This Row],[Row nr]])&gt;0,SUM(knowledge_utilisation[Amount])&gt;KU_maxperc*Total_NWO_funding),$B$51,"")</f>
        <v/>
      </c>
      <c r="E238" s="264" t="str">
        <f>IF(AND(LEN(INDEX(knowledge_utilisation[Description],KU_notes[[#This Row],[Row nr]]))&gt;0,INDEX(knowledge_utilisation[Amount],KU_notes[[#This Row],[Row nr]])=0),$B$52,"")</f>
        <v/>
      </c>
    </row>
    <row r="239" spans="1:5" x14ac:dyDescent="0.3">
      <c r="A239" s="261">
        <v>11</v>
      </c>
      <c r="B239" s="215" t="str" cm="1">
        <f t="array" aca="1" ref="B239" ca="1">IFERROR(INDEX(KU_notes[[#This Row],[Empty line]:[Amount not provided]],1,MATCH(TRUE,LEN(KU_notes[[#This Row],[Empty line]:[Amount not provided]])&gt;0,0)),"")</f>
        <v/>
      </c>
      <c r="C239" s="262" t="str">
        <f>IFERROR(IF(AND(empty_lines="no",LEN(INDEX(knowledge_utilisation[Description],KU_notes[[#This Row],[Row nr]]))=0,LEN(INDEX(knowledge_utilisation[Description],KU_notes[[#This Row],[Row nr]]+1))&gt;0),$B$34,""),"")</f>
        <v/>
      </c>
      <c r="D239" s="262" t="str" cm="1">
        <f t="array" aca="1" ref="D239" ca="1">IF(AND(INDEX(knowledge_utilisation[Amount],KU_notes[[#This Row],[Row nr]])&gt;0,SUM(knowledge_utilisation[Amount])&gt;KU_maxperc*Total_NWO_funding),$B$51,"")</f>
        <v/>
      </c>
      <c r="E239" s="262" t="str">
        <f>IF(AND(LEN(INDEX(knowledge_utilisation[Description],KU_notes[[#This Row],[Row nr]]))&gt;0,INDEX(knowledge_utilisation[Amount],KU_notes[[#This Row],[Row nr]])=0),$B$52,"")</f>
        <v/>
      </c>
    </row>
    <row r="240" spans="1:5" x14ac:dyDescent="0.3">
      <c r="A240" s="263">
        <v>12</v>
      </c>
      <c r="B240" s="215" t="str" cm="1">
        <f t="array" aca="1" ref="B240" ca="1">IFERROR(INDEX(KU_notes[[#This Row],[Empty line]:[Amount not provided]],1,MATCH(TRUE,LEN(KU_notes[[#This Row],[Empty line]:[Amount not provided]])&gt;0,0)),"")</f>
        <v/>
      </c>
      <c r="C240" s="264" t="str">
        <f>IFERROR(IF(AND(empty_lines="no",LEN(INDEX(knowledge_utilisation[Description],KU_notes[[#This Row],[Row nr]]))=0,LEN(INDEX(knowledge_utilisation[Description],KU_notes[[#This Row],[Row nr]]+1))&gt;0),$B$34,""),"")</f>
        <v/>
      </c>
      <c r="D240" s="264" t="str" cm="1">
        <f t="array" aca="1" ref="D240" ca="1">IF(AND(INDEX(knowledge_utilisation[Amount],KU_notes[[#This Row],[Row nr]])&gt;0,SUM(knowledge_utilisation[Amount])&gt;KU_maxperc*Total_NWO_funding),$B$51,"")</f>
        <v/>
      </c>
      <c r="E240" s="264" t="str">
        <f>IF(AND(LEN(INDEX(knowledge_utilisation[Description],KU_notes[[#This Row],[Row nr]]))&gt;0,INDEX(knowledge_utilisation[Amount],KU_notes[[#This Row],[Row nr]])=0),$B$52,"")</f>
        <v/>
      </c>
    </row>
    <row r="241" spans="1:5" x14ac:dyDescent="0.3">
      <c r="A241" s="261">
        <v>13</v>
      </c>
      <c r="B241" s="215" t="str" cm="1">
        <f t="array" aca="1" ref="B241" ca="1">IFERROR(INDEX(KU_notes[[#This Row],[Empty line]:[Amount not provided]],1,MATCH(TRUE,LEN(KU_notes[[#This Row],[Empty line]:[Amount not provided]])&gt;0,0)),"")</f>
        <v/>
      </c>
      <c r="C241" s="262" t="str">
        <f>IFERROR(IF(AND(empty_lines="no",LEN(INDEX(knowledge_utilisation[Description],KU_notes[[#This Row],[Row nr]]))=0,LEN(INDEX(knowledge_utilisation[Description],KU_notes[[#This Row],[Row nr]]+1))&gt;0),$B$34,""),"")</f>
        <v/>
      </c>
      <c r="D241" s="262" t="str" cm="1">
        <f t="array" aca="1" ref="D241" ca="1">IF(AND(INDEX(knowledge_utilisation[Amount],KU_notes[[#This Row],[Row nr]])&gt;0,SUM(knowledge_utilisation[Amount])&gt;KU_maxperc*Total_NWO_funding),$B$51,"")</f>
        <v/>
      </c>
      <c r="E241" s="262" t="str">
        <f>IF(AND(LEN(INDEX(knowledge_utilisation[Description],KU_notes[[#This Row],[Row nr]]))&gt;0,INDEX(knowledge_utilisation[Amount],KU_notes[[#This Row],[Row nr]])=0),$B$52,"")</f>
        <v/>
      </c>
    </row>
    <row r="242" spans="1:5" x14ac:dyDescent="0.3">
      <c r="A242" s="263">
        <v>14</v>
      </c>
      <c r="B242" s="215" t="str" cm="1">
        <f t="array" aca="1" ref="B242" ca="1">IFERROR(INDEX(KU_notes[[#This Row],[Empty line]:[Amount not provided]],1,MATCH(TRUE,LEN(KU_notes[[#This Row],[Empty line]:[Amount not provided]])&gt;0,0)),"")</f>
        <v/>
      </c>
      <c r="C242" s="264" t="str">
        <f>IFERROR(IF(AND(empty_lines="no",LEN(INDEX(knowledge_utilisation[Description],KU_notes[[#This Row],[Row nr]]))=0,LEN(INDEX(knowledge_utilisation[Description],KU_notes[[#This Row],[Row nr]]+1))&gt;0),$B$34,""),"")</f>
        <v/>
      </c>
      <c r="D242" s="264" t="str" cm="1">
        <f t="array" aca="1" ref="D242" ca="1">IF(AND(INDEX(knowledge_utilisation[Amount],KU_notes[[#This Row],[Row nr]])&gt;0,SUM(knowledge_utilisation[Amount])&gt;KU_maxperc*Total_NWO_funding),$B$51,"")</f>
        <v/>
      </c>
      <c r="E242" s="264" t="str">
        <f>IF(AND(LEN(INDEX(knowledge_utilisation[Description],KU_notes[[#This Row],[Row nr]]))&gt;0,INDEX(knowledge_utilisation[Amount],KU_notes[[#This Row],[Row nr]])=0),$B$52,"")</f>
        <v/>
      </c>
    </row>
    <row r="243" spans="1:5" x14ac:dyDescent="0.3">
      <c r="A243" s="261">
        <v>15</v>
      </c>
      <c r="B243" s="215" t="str" cm="1">
        <f t="array" aca="1" ref="B243" ca="1">IFERROR(INDEX(KU_notes[[#This Row],[Empty line]:[Amount not provided]],1,MATCH(TRUE,LEN(KU_notes[[#This Row],[Empty line]:[Amount not provided]])&gt;0,0)),"")</f>
        <v/>
      </c>
      <c r="C243" s="262" t="str">
        <f>IFERROR(IF(AND(empty_lines="no",LEN(INDEX(knowledge_utilisation[Description],KU_notes[[#This Row],[Row nr]]))=0,LEN(INDEX(knowledge_utilisation[Description],KU_notes[[#This Row],[Row nr]]+1))&gt;0),$B$34,""),"")</f>
        <v/>
      </c>
      <c r="D243" s="262" t="str" cm="1">
        <f t="array" aca="1" ref="D243" ca="1">IF(AND(INDEX(knowledge_utilisation[Amount],KU_notes[[#This Row],[Row nr]])&gt;0,SUM(knowledge_utilisation[Amount])&gt;KU_maxperc*Total_NWO_funding),$B$51,"")</f>
        <v/>
      </c>
      <c r="E243" s="262" t="str">
        <f>IF(AND(LEN(INDEX(knowledge_utilisation[Description],KU_notes[[#This Row],[Row nr]]))&gt;0,INDEX(knowledge_utilisation[Amount],KU_notes[[#This Row],[Row nr]])=0),$B$52,"")</f>
        <v/>
      </c>
    </row>
    <row r="249" spans="1:5" ht="18" x14ac:dyDescent="0.35">
      <c r="A249" s="122" t="s">
        <v>630</v>
      </c>
    </row>
    <row r="250" spans="1:5" ht="12" customHeight="1" x14ac:dyDescent="0.3">
      <c r="A250" s="243" t="s">
        <v>530</v>
      </c>
      <c r="B250" s="243" t="s">
        <v>533</v>
      </c>
      <c r="C250" s="243" t="s">
        <v>629</v>
      </c>
      <c r="D250" s="243" t="s">
        <v>631</v>
      </c>
      <c r="E250" s="243" t="s">
        <v>634</v>
      </c>
    </row>
    <row r="251" spans="1:5" ht="12" customHeight="1" x14ac:dyDescent="0.3">
      <c r="A251" s="249">
        <v>1</v>
      </c>
      <c r="B251" s="110" t="str" cm="1">
        <f t="array" ref="B251">IFERROR(INDEX(comb_notes_inkind[[#This Row],[Empty line]:[Exceeding rate]],1,MATCH(TRUE,LEN(comb_notes_inkind[[#This Row],[Empty line]:[Exceeding rate]])&gt;0,0)),"")</f>
        <v/>
      </c>
      <c r="C251" s="110" t="str">
        <f>IFERROR(IF(AND(LEN(INDEX(inkind[Organisation + description of co-funding],$A251))+LEN(INDEX(inkind[Type co-funding],$A251))+LEN(INDEX(inkind[[  ]],$A251))+LEN(INDEX(inkind[Nr of units or Nr of hours],$A251))&gt;0,LEN(INDEX(inkind[Organisation + description of co-funding],$A251-1))+LEN(INDEX(inkind[Type co-funding],$A251-1))+LEN(INDEX(inkind[[  ]],$A251-1))+LEN(INDEX(inkind[Nr of units or Nr of hours],$A251-1))=0),$B$34,""),"")</f>
        <v/>
      </c>
      <c r="D251" s="110" t="str">
        <f>IF(AND(INDEX(inkind[Amount],$A251)&gt;0,LEN(INDEX(inkind[Type co-funding],$A251))=0,cofunding_inkind_def_rates="yes"),$B$53,"")</f>
        <v/>
      </c>
      <c r="E251" s="110" t="str" cm="1">
        <f t="array" ref="E251">IF(AND(INDEX(inkind[Type co-funding],$A251)="Personnel",INDEX(inkind[Unit price or hourly rate],$A251)&gt;cofunding_max_rate),$B$54,"")</f>
        <v/>
      </c>
    </row>
    <row r="252" spans="1:5" ht="12" customHeight="1" x14ac:dyDescent="0.3">
      <c r="A252" s="249">
        <v>2</v>
      </c>
      <c r="B252" s="110" t="str" cm="1">
        <f t="array" ref="B252">IFERROR(INDEX(comb_notes_inkind[[#This Row],[Empty line]:[Exceeding rate]],1,MATCH(TRUE,LEN(comb_notes_inkind[[#This Row],[Empty line]:[Exceeding rate]])&gt;0,0)),"")</f>
        <v/>
      </c>
      <c r="C252" s="110" t="str">
        <f>IFERROR(IF(AND(LEN(INDEX(inkind[Organisation + description of co-funding],$A252))+LEN(INDEX(inkind[Type co-funding],$A252))+LEN(INDEX(inkind[[  ]],$A252))+LEN(INDEX(inkind[Nr of units or Nr of hours],$A252))&gt;0,LEN(INDEX(inkind[Organisation + description of co-funding],$A252-1))+LEN(INDEX(inkind[Type co-funding],$A252-1))+LEN(INDEX(inkind[[  ]],$A252-1))+LEN(INDEX(inkind[Nr of units or Nr of hours],$A252-1))=0),$B$34,""),"")</f>
        <v/>
      </c>
      <c r="D252" s="110" t="str">
        <f>IF(AND(INDEX(inkind[Amount],$A252)&gt;0,LEN(INDEX(inkind[Type co-funding],$A252))=0,cofunding_inkind_def_rates="yes"),$B$53,"")</f>
        <v/>
      </c>
      <c r="E252" s="110" t="str" cm="1">
        <f t="array" ref="E252">IF(AND(INDEX(inkind[Type co-funding],$A252)="Personnel",INDEX(inkind[Unit price or hourly rate],$A252)&gt;cofunding_max_rate),$B$54,"")</f>
        <v/>
      </c>
    </row>
    <row r="253" spans="1:5" ht="12" customHeight="1" x14ac:dyDescent="0.3">
      <c r="A253" s="249">
        <v>3</v>
      </c>
      <c r="B253" s="110" t="str" cm="1">
        <f t="array" ref="B253">IFERROR(INDEX(comb_notes_inkind[[#This Row],[Empty line]:[Exceeding rate]],1,MATCH(TRUE,LEN(comb_notes_inkind[[#This Row],[Empty line]:[Exceeding rate]])&gt;0,0)),"")</f>
        <v/>
      </c>
      <c r="C253" s="110" t="str">
        <f>IFERROR(IF(AND(LEN(INDEX(inkind[Organisation + description of co-funding],$A253))+LEN(INDEX(inkind[Type co-funding],$A253))+LEN(INDEX(inkind[[  ]],$A253))+LEN(INDEX(inkind[Nr of units or Nr of hours],$A253))&gt;0,LEN(INDEX(inkind[Organisation + description of co-funding],$A253-1))+LEN(INDEX(inkind[Type co-funding],$A253-1))+LEN(INDEX(inkind[[  ]],$A253-1))+LEN(INDEX(inkind[Nr of units or Nr of hours],$A253-1))=0),$B$34,""),"")</f>
        <v/>
      </c>
      <c r="D253" s="110" t="str">
        <f>IF(AND(INDEX(inkind[Amount],$A253)&gt;0,LEN(INDEX(inkind[Type co-funding],$A253))=0,cofunding_inkind_def_rates="yes"),$B$53,"")</f>
        <v/>
      </c>
      <c r="E253" s="110" t="str" cm="1">
        <f t="array" ref="E253">IF(AND(INDEX(inkind[Type co-funding],$A253)="Personnel",INDEX(inkind[Unit price or hourly rate],$A253)&gt;cofunding_max_rate),$B$54,"")</f>
        <v/>
      </c>
    </row>
    <row r="254" spans="1:5" ht="12" customHeight="1" x14ac:dyDescent="0.3">
      <c r="A254" s="249">
        <v>4</v>
      </c>
      <c r="B254" s="110" t="str" cm="1">
        <f t="array" ref="B254">IFERROR(INDEX(comb_notes_inkind[[#This Row],[Empty line]:[Exceeding rate]],1,MATCH(TRUE,LEN(comb_notes_inkind[[#This Row],[Empty line]:[Exceeding rate]])&gt;0,0)),"")</f>
        <v/>
      </c>
      <c r="C254" s="110" t="str">
        <f>IFERROR(IF(AND(LEN(INDEX(inkind[Organisation + description of co-funding],$A254))+LEN(INDEX(inkind[Type co-funding],$A254))+LEN(INDEX(inkind[[  ]],$A254))+LEN(INDEX(inkind[Nr of units or Nr of hours],$A254))&gt;0,LEN(INDEX(inkind[Organisation + description of co-funding],$A254-1))+LEN(INDEX(inkind[Type co-funding],$A254-1))+LEN(INDEX(inkind[[  ]],$A254-1))+LEN(INDEX(inkind[Nr of units or Nr of hours],$A254-1))=0),$B$34,""),"")</f>
        <v/>
      </c>
      <c r="D254" s="110" t="str">
        <f>IF(AND(INDEX(inkind[Amount],$A254)&gt;0,LEN(INDEX(inkind[Type co-funding],$A254))=0,cofunding_inkind_def_rates="yes"),$B$53,"")</f>
        <v/>
      </c>
      <c r="E254" s="110" t="str" cm="1">
        <f t="array" ref="E254">IF(AND(INDEX(inkind[Type co-funding],$A254)="Personnel",INDEX(inkind[Unit price or hourly rate],$A254)&gt;cofunding_max_rate),$B$54,"")</f>
        <v/>
      </c>
    </row>
    <row r="255" spans="1:5" ht="12" customHeight="1" x14ac:dyDescent="0.3">
      <c r="A255" s="249">
        <v>5</v>
      </c>
      <c r="B255" s="110" t="str" cm="1">
        <f t="array" ref="B255">IFERROR(INDEX(comb_notes_inkind[[#This Row],[Empty line]:[Exceeding rate]],1,MATCH(TRUE,LEN(comb_notes_inkind[[#This Row],[Empty line]:[Exceeding rate]])&gt;0,0)),"")</f>
        <v/>
      </c>
      <c r="C255" s="110" t="str">
        <f>IFERROR(IF(AND(LEN(INDEX(inkind[Organisation + description of co-funding],$A255))+LEN(INDEX(inkind[Type co-funding],$A255))+LEN(INDEX(inkind[[  ]],$A255))+LEN(INDEX(inkind[Nr of units or Nr of hours],$A255))&gt;0,LEN(INDEX(inkind[Organisation + description of co-funding],$A255-1))+LEN(INDEX(inkind[Type co-funding],$A255-1))+LEN(INDEX(inkind[[  ]],$A255-1))+LEN(INDEX(inkind[Nr of units or Nr of hours],$A255-1))=0),$B$34,""),"")</f>
        <v/>
      </c>
      <c r="D255" s="110" t="str">
        <f>IF(AND(INDEX(inkind[Amount],$A255)&gt;0,LEN(INDEX(inkind[Type co-funding],$A255))=0,cofunding_inkind_def_rates="yes"),$B$53,"")</f>
        <v/>
      </c>
      <c r="E255" s="110" t="str" cm="1">
        <f t="array" ref="E255">IF(AND(INDEX(inkind[Type co-funding],$A255)="Personnel",INDEX(inkind[Unit price or hourly rate],$A255)&gt;cofunding_max_rate),$B$54,"")</f>
        <v/>
      </c>
    </row>
    <row r="256" spans="1:5" ht="12" customHeight="1" x14ac:dyDescent="0.3">
      <c r="A256" s="249">
        <v>6</v>
      </c>
      <c r="B256" s="110" t="str" cm="1">
        <f t="array" ref="B256">IFERROR(INDEX(comb_notes_inkind[[#This Row],[Empty line]:[Exceeding rate]],1,MATCH(TRUE,LEN(comb_notes_inkind[[#This Row],[Empty line]:[Exceeding rate]])&gt;0,0)),"")</f>
        <v/>
      </c>
      <c r="C256" s="110" t="str">
        <f>IFERROR(IF(AND(LEN(INDEX(inkind[Organisation + description of co-funding],$A256))+LEN(INDEX(inkind[Type co-funding],$A256))+LEN(INDEX(inkind[[  ]],$A256))+LEN(INDEX(inkind[Nr of units or Nr of hours],$A256))&gt;0,LEN(INDEX(inkind[Organisation + description of co-funding],$A256-1))+LEN(INDEX(inkind[Type co-funding],$A256-1))+LEN(INDEX(inkind[[  ]],$A256-1))+LEN(INDEX(inkind[Nr of units or Nr of hours],$A256-1))=0),$B$34,""),"")</f>
        <v/>
      </c>
      <c r="D256" s="110" t="str">
        <f>IF(AND(INDEX(inkind[Amount],$A256)&gt;0,LEN(INDEX(inkind[Type co-funding],$A256))=0,cofunding_inkind_def_rates="yes"),$B$53,"")</f>
        <v/>
      </c>
      <c r="E256" s="110" t="str" cm="1">
        <f t="array" ref="E256">IF(AND(INDEX(inkind[Type co-funding],$A256)="Personnel",INDEX(inkind[Unit price or hourly rate],$A256)&gt;cofunding_max_rate),$B$54,"")</f>
        <v/>
      </c>
    </row>
    <row r="257" spans="1:5" ht="12" customHeight="1" x14ac:dyDescent="0.3">
      <c r="A257" s="249">
        <v>7</v>
      </c>
      <c r="B257" s="110" t="str" cm="1">
        <f t="array" ref="B257">IFERROR(INDEX(comb_notes_inkind[[#This Row],[Empty line]:[Exceeding rate]],1,MATCH(TRUE,LEN(comb_notes_inkind[[#This Row],[Empty line]:[Exceeding rate]])&gt;0,0)),"")</f>
        <v/>
      </c>
      <c r="C257" s="110" t="str">
        <f>IFERROR(IF(AND(LEN(INDEX(inkind[Organisation + description of co-funding],$A257))+LEN(INDEX(inkind[Type co-funding],$A257))+LEN(INDEX(inkind[[  ]],$A257))+LEN(INDEX(inkind[Nr of units or Nr of hours],$A257))&gt;0,LEN(INDEX(inkind[Organisation + description of co-funding],$A257-1))+LEN(INDEX(inkind[Type co-funding],$A257-1))+LEN(INDEX(inkind[[  ]],$A257-1))+LEN(INDEX(inkind[Nr of units or Nr of hours],$A257-1))=0),$B$34,""),"")</f>
        <v/>
      </c>
      <c r="D257" s="110" t="str">
        <f>IF(AND(INDEX(inkind[Amount],$A257)&gt;0,LEN(INDEX(inkind[Type co-funding],$A257))=0,cofunding_inkind_def_rates="yes"),$B$53,"")</f>
        <v/>
      </c>
      <c r="E257" s="110" t="str" cm="1">
        <f t="array" ref="E257">IF(AND(INDEX(inkind[Type co-funding],$A257)="Personnel",INDEX(inkind[Unit price or hourly rate],$A257)&gt;cofunding_max_rate),$B$54,"")</f>
        <v/>
      </c>
    </row>
    <row r="258" spans="1:5" ht="12" customHeight="1" x14ac:dyDescent="0.3">
      <c r="A258" s="249">
        <v>8</v>
      </c>
      <c r="B258" s="110" t="str" cm="1">
        <f t="array" ref="B258">IFERROR(INDEX(comb_notes_inkind[[#This Row],[Empty line]:[Exceeding rate]],1,MATCH(TRUE,LEN(comb_notes_inkind[[#This Row],[Empty line]:[Exceeding rate]])&gt;0,0)),"")</f>
        <v/>
      </c>
      <c r="C258" s="110" t="str">
        <f>IFERROR(IF(AND(LEN(INDEX(inkind[Organisation + description of co-funding],$A258))+LEN(INDEX(inkind[Type co-funding],$A258))+LEN(INDEX(inkind[[  ]],$A258))+LEN(INDEX(inkind[Nr of units or Nr of hours],$A258))&gt;0,LEN(INDEX(inkind[Organisation + description of co-funding],$A258-1))+LEN(INDEX(inkind[Type co-funding],$A258-1))+LEN(INDEX(inkind[[  ]],$A258-1))+LEN(INDEX(inkind[Nr of units or Nr of hours],$A258-1))=0),$B$34,""),"")</f>
        <v/>
      </c>
      <c r="D258" s="110" t="str">
        <f>IF(AND(INDEX(inkind[Amount],$A258)&gt;0,LEN(INDEX(inkind[Type co-funding],$A258))=0,cofunding_inkind_def_rates="yes"),$B$53,"")</f>
        <v/>
      </c>
      <c r="E258" s="110" t="str" cm="1">
        <f t="array" ref="E258">IF(AND(INDEX(inkind[Type co-funding],$A258)="Personnel",INDEX(inkind[Unit price or hourly rate],$A258)&gt;cofunding_max_rate),$B$54,"")</f>
        <v/>
      </c>
    </row>
    <row r="259" spans="1:5" ht="12" customHeight="1" x14ac:dyDescent="0.3">
      <c r="A259" s="249">
        <v>9</v>
      </c>
      <c r="B259" s="110" t="str" cm="1">
        <f t="array" ref="B259">IFERROR(INDEX(comb_notes_inkind[[#This Row],[Empty line]:[Exceeding rate]],1,MATCH(TRUE,LEN(comb_notes_inkind[[#This Row],[Empty line]:[Exceeding rate]])&gt;0,0)),"")</f>
        <v/>
      </c>
      <c r="C259" s="110" t="str">
        <f>IFERROR(IF(AND(LEN(INDEX(inkind[Organisation + description of co-funding],$A259))+LEN(INDEX(inkind[Type co-funding],$A259))+LEN(INDEX(inkind[[  ]],$A259))+LEN(INDEX(inkind[Nr of units or Nr of hours],$A259))&gt;0,LEN(INDEX(inkind[Organisation + description of co-funding],$A259-1))+LEN(INDEX(inkind[Type co-funding],$A259-1))+LEN(INDEX(inkind[[  ]],$A259-1))+LEN(INDEX(inkind[Nr of units or Nr of hours],$A259-1))=0),$B$34,""),"")</f>
        <v/>
      </c>
      <c r="D259" s="110" t="str">
        <f>IF(AND(INDEX(inkind[Amount],$A259)&gt;0,LEN(INDEX(inkind[Type co-funding],$A259))=0,cofunding_inkind_def_rates="yes"),$B$53,"")</f>
        <v/>
      </c>
      <c r="E259" s="110" t="str" cm="1">
        <f t="array" ref="E259">IF(AND(INDEX(inkind[Type co-funding],$A259)="Personnel",INDEX(inkind[Unit price or hourly rate],$A259)&gt;cofunding_max_rate),$B$54,"")</f>
        <v/>
      </c>
    </row>
    <row r="260" spans="1:5" ht="12" customHeight="1" x14ac:dyDescent="0.3">
      <c r="A260" s="249">
        <v>10</v>
      </c>
      <c r="B260" s="110" t="str" cm="1">
        <f t="array" ref="B260">IFERROR(INDEX(comb_notes_inkind[[#This Row],[Empty line]:[Exceeding rate]],1,MATCH(TRUE,LEN(comb_notes_inkind[[#This Row],[Empty line]:[Exceeding rate]])&gt;0,0)),"")</f>
        <v/>
      </c>
      <c r="C260" s="110" t="str">
        <f>IFERROR(IF(AND(LEN(INDEX(inkind[Organisation + description of co-funding],$A260))+LEN(INDEX(inkind[Type co-funding],$A260))+LEN(INDEX(inkind[[  ]],$A260))+LEN(INDEX(inkind[Nr of units or Nr of hours],$A260))&gt;0,LEN(INDEX(inkind[Organisation + description of co-funding],$A260-1))+LEN(INDEX(inkind[Type co-funding],$A260-1))+LEN(INDEX(inkind[[  ]],$A260-1))+LEN(INDEX(inkind[Nr of units or Nr of hours],$A260-1))=0),$B$34,""),"")</f>
        <v/>
      </c>
      <c r="D260" s="110" t="str">
        <f>IF(AND(INDEX(inkind[Amount],$A260)&gt;0,LEN(INDEX(inkind[Type co-funding],$A260))=0,cofunding_inkind_def_rates="yes"),$B$53,"")</f>
        <v/>
      </c>
      <c r="E260" s="110" t="str" cm="1">
        <f t="array" ref="E260">IF(AND(INDEX(inkind[Type co-funding],$A260)="Personnel",INDEX(inkind[Unit price or hourly rate],$A260)&gt;cofunding_max_rate),$B$54,"")</f>
        <v/>
      </c>
    </row>
    <row r="261" spans="1:5" ht="12" customHeight="1" x14ac:dyDescent="0.3">
      <c r="A261" s="249">
        <v>11</v>
      </c>
      <c r="B261" s="110" t="str" cm="1">
        <f t="array" ref="B261">IFERROR(INDEX(comb_notes_inkind[[#This Row],[Empty line]:[Exceeding rate]],1,MATCH(TRUE,LEN(comb_notes_inkind[[#This Row],[Empty line]:[Exceeding rate]])&gt;0,0)),"")</f>
        <v/>
      </c>
      <c r="C261" s="110" t="str">
        <f>IFERROR(IF(AND(LEN(INDEX(inkind[Organisation + description of co-funding],$A261))+LEN(INDEX(inkind[Type co-funding],$A261))+LEN(INDEX(inkind[[  ]],$A261))+LEN(INDEX(inkind[Nr of units or Nr of hours],$A261))&gt;0,LEN(INDEX(inkind[Organisation + description of co-funding],$A261-1))+LEN(INDEX(inkind[Type co-funding],$A261-1))+LEN(INDEX(inkind[[  ]],$A261-1))+LEN(INDEX(inkind[Nr of units or Nr of hours],$A261-1))=0),$B$34,""),"")</f>
        <v/>
      </c>
      <c r="D261" s="110" t="str">
        <f>IF(AND(INDEX(inkind[Amount],$A261)&gt;0,LEN(INDEX(inkind[Type co-funding],$A261))=0,cofunding_inkind_def_rates="yes"),$B$53,"")</f>
        <v/>
      </c>
      <c r="E261" s="110" t="str" cm="1">
        <f t="array" ref="E261">IF(AND(INDEX(inkind[Type co-funding],$A261)="Personnel",INDEX(inkind[Unit price or hourly rate],$A261)&gt;cofunding_max_rate),$B$54,"")</f>
        <v/>
      </c>
    </row>
    <row r="262" spans="1:5" ht="12" customHeight="1" x14ac:dyDescent="0.3">
      <c r="A262" s="249">
        <v>12</v>
      </c>
      <c r="B262" s="110" t="str" cm="1">
        <f t="array" ref="B262">IFERROR(INDEX(comb_notes_inkind[[#This Row],[Empty line]:[Exceeding rate]],1,MATCH(TRUE,LEN(comb_notes_inkind[[#This Row],[Empty line]:[Exceeding rate]])&gt;0,0)),"")</f>
        <v/>
      </c>
      <c r="C262" s="110" t="str">
        <f>IFERROR(IF(AND(LEN(INDEX(inkind[Organisation + description of co-funding],$A262))+LEN(INDEX(inkind[Type co-funding],$A262))+LEN(INDEX(inkind[[  ]],$A262))+LEN(INDEX(inkind[Nr of units or Nr of hours],$A262))&gt;0,LEN(INDEX(inkind[Organisation + description of co-funding],$A262-1))+LEN(INDEX(inkind[Type co-funding],$A262-1))+LEN(INDEX(inkind[[  ]],$A262-1))+LEN(INDEX(inkind[Nr of units or Nr of hours],$A262-1))=0),$B$34,""),"")</f>
        <v/>
      </c>
      <c r="D262" s="110" t="str">
        <f>IF(AND(INDEX(inkind[Amount],$A262)&gt;0,LEN(INDEX(inkind[Type co-funding],$A262))=0,cofunding_inkind_def_rates="yes"),$B$53,"")</f>
        <v/>
      </c>
      <c r="E262" s="110" t="str" cm="1">
        <f t="array" ref="E262">IF(AND(INDEX(inkind[Type co-funding],$A262)="Personnel",INDEX(inkind[Unit price or hourly rate],$A262)&gt;cofunding_max_rate),$B$54,"")</f>
        <v/>
      </c>
    </row>
    <row r="263" spans="1:5" ht="12" customHeight="1" x14ac:dyDescent="0.3">
      <c r="A263" s="249">
        <v>13</v>
      </c>
      <c r="B263" s="110" t="str" cm="1">
        <f t="array" ref="B263">IFERROR(INDEX(comb_notes_inkind[[#This Row],[Empty line]:[Exceeding rate]],1,MATCH(TRUE,LEN(comb_notes_inkind[[#This Row],[Empty line]:[Exceeding rate]])&gt;0,0)),"")</f>
        <v/>
      </c>
      <c r="C263" s="110" t="str">
        <f>IFERROR(IF(AND(LEN(INDEX(inkind[Organisation + description of co-funding],$A263))+LEN(INDEX(inkind[Type co-funding],$A263))+LEN(INDEX(inkind[[  ]],$A263))+LEN(INDEX(inkind[Nr of units or Nr of hours],$A263))&gt;0,LEN(INDEX(inkind[Organisation + description of co-funding],$A263-1))+LEN(INDEX(inkind[Type co-funding],$A263-1))+LEN(INDEX(inkind[[  ]],$A263-1))+LEN(INDEX(inkind[Nr of units or Nr of hours],$A263-1))=0),$B$34,""),"")</f>
        <v/>
      </c>
      <c r="D263" s="110" t="str">
        <f>IF(AND(INDEX(inkind[Amount],$A263)&gt;0,LEN(INDEX(inkind[Type co-funding],$A263))=0,cofunding_inkind_def_rates="yes"),$B$53,"")</f>
        <v/>
      </c>
      <c r="E263" s="110" t="str" cm="1">
        <f t="array" ref="E263">IF(AND(INDEX(inkind[Type co-funding],$A263)="Personnel",INDEX(inkind[Unit price or hourly rate],$A263)&gt;cofunding_max_rate),$B$54,"")</f>
        <v/>
      </c>
    </row>
    <row r="264" spans="1:5" ht="12" customHeight="1" x14ac:dyDescent="0.3">
      <c r="A264" s="249">
        <v>14</v>
      </c>
      <c r="B264" s="110" t="str" cm="1">
        <f t="array" ref="B264">IFERROR(INDEX(comb_notes_inkind[[#This Row],[Empty line]:[Exceeding rate]],1,MATCH(TRUE,LEN(comb_notes_inkind[[#This Row],[Empty line]:[Exceeding rate]])&gt;0,0)),"")</f>
        <v/>
      </c>
      <c r="C264" s="110" t="str">
        <f>IFERROR(IF(AND(LEN(INDEX(inkind[Organisation + description of co-funding],$A264))+LEN(INDEX(inkind[Type co-funding],$A264))+LEN(INDEX(inkind[[  ]],$A264))+LEN(INDEX(inkind[Nr of units or Nr of hours],$A264))&gt;0,LEN(INDEX(inkind[Organisation + description of co-funding],$A264-1))+LEN(INDEX(inkind[Type co-funding],$A264-1))+LEN(INDEX(inkind[[  ]],$A264-1))+LEN(INDEX(inkind[Nr of units or Nr of hours],$A264-1))=0),$B$34,""),"")</f>
        <v/>
      </c>
      <c r="D264" s="110" t="str">
        <f>IF(AND(INDEX(inkind[Amount],$A264)&gt;0,LEN(INDEX(inkind[Type co-funding],$A264))=0,cofunding_inkind_def_rates="yes"),$B$53,"")</f>
        <v/>
      </c>
      <c r="E264" s="110" t="str" cm="1">
        <f t="array" ref="E264">IF(AND(INDEX(inkind[Type co-funding],$A264)="Personnel",INDEX(inkind[Unit price or hourly rate],$A264)&gt;cofunding_max_rate),$B$54,"")</f>
        <v/>
      </c>
    </row>
    <row r="265" spans="1:5" ht="12" customHeight="1" x14ac:dyDescent="0.3">
      <c r="A265" s="249">
        <v>15</v>
      </c>
      <c r="B265" s="110" t="str" cm="1">
        <f t="array" ref="B265">IFERROR(INDEX(comb_notes_inkind[[#This Row],[Empty line]:[Exceeding rate]],1,MATCH(TRUE,LEN(comb_notes_inkind[[#This Row],[Empty line]:[Exceeding rate]])&gt;0,0)),"")</f>
        <v/>
      </c>
      <c r="C265" s="110" t="str">
        <f>IFERROR(IF(AND(LEN(INDEX(inkind[Organisation + description of co-funding],$A265))+LEN(INDEX(inkind[Type co-funding],$A265))+LEN(INDEX(inkind[[  ]],$A265))+LEN(INDEX(inkind[Nr of units or Nr of hours],$A265))&gt;0,LEN(INDEX(inkind[Organisation + description of co-funding],$A265-1))+LEN(INDEX(inkind[Type co-funding],$A265-1))+LEN(INDEX(inkind[[  ]],$A265-1))+LEN(INDEX(inkind[Nr of units or Nr of hours],$A265-1))=0),$B$34,""),"")</f>
        <v/>
      </c>
      <c r="D265" s="110" t="str">
        <f>IF(AND(INDEX(inkind[Amount],$A265)&gt;0,LEN(INDEX(inkind[Type co-funding],$A265))=0,cofunding_inkind_def_rates="yes"),$B$53,"")</f>
        <v/>
      </c>
      <c r="E265" s="110" t="str" cm="1">
        <f t="array" ref="E265">IF(AND(INDEX(inkind[Type co-funding],$A265)="Personnel",INDEX(inkind[Unit price or hourly rate],$A265)&gt;cofunding_max_rate),$B$54,"")</f>
        <v/>
      </c>
    </row>
    <row r="266" spans="1:5" ht="12" customHeight="1" x14ac:dyDescent="0.35">
      <c r="A266" s="122"/>
    </row>
    <row r="267" spans="1:5" ht="12" customHeight="1" x14ac:dyDescent="0.35">
      <c r="A267" s="122"/>
    </row>
    <row r="268" spans="1:5" ht="12" customHeight="1" x14ac:dyDescent="0.35">
      <c r="A268" s="122"/>
    </row>
    <row r="269" spans="1:5" ht="12" customHeight="1" x14ac:dyDescent="0.35">
      <c r="A269" s="122"/>
    </row>
    <row r="270" spans="1:5" ht="12" customHeight="1" x14ac:dyDescent="0.3"/>
    <row r="271" spans="1:5" ht="12" customHeight="1" x14ac:dyDescent="0.3"/>
    <row r="272" spans="1:5" ht="12" customHeight="1" x14ac:dyDescent="0.3"/>
    <row r="273" spans="1:2" ht="12" customHeight="1" x14ac:dyDescent="0.3"/>
    <row r="274" spans="1:2" ht="12" customHeight="1" x14ac:dyDescent="0.3"/>
    <row r="275" spans="1:2" ht="12" customHeight="1" x14ac:dyDescent="0.3"/>
    <row r="276" spans="1:2" ht="12" customHeight="1" x14ac:dyDescent="0.3"/>
    <row r="277" spans="1:2" ht="12" customHeight="1" x14ac:dyDescent="0.3"/>
    <row r="278" spans="1:2" ht="12" customHeight="1" x14ac:dyDescent="0.3"/>
    <row r="279" spans="1:2" ht="12" customHeight="1" x14ac:dyDescent="0.3"/>
    <row r="280" spans="1:2" ht="12" customHeight="1" x14ac:dyDescent="0.3"/>
    <row r="281" spans="1:2" ht="12" customHeight="1" x14ac:dyDescent="0.3"/>
    <row r="282" spans="1:2" ht="12" customHeight="1" x14ac:dyDescent="0.3"/>
    <row r="283" spans="1:2" ht="12" customHeight="1" x14ac:dyDescent="0.3"/>
    <row r="284" spans="1:2" ht="12" customHeight="1" x14ac:dyDescent="0.3"/>
    <row r="285" spans="1:2" ht="18" x14ac:dyDescent="0.35">
      <c r="A285" s="122" t="s">
        <v>609</v>
      </c>
    </row>
    <row r="287" spans="1:2" x14ac:dyDescent="0.3">
      <c r="A287" s="110" t="s">
        <v>533</v>
      </c>
      <c r="B287" s="110" t="s">
        <v>610</v>
      </c>
    </row>
    <row r="288" spans="1:2" x14ac:dyDescent="0.3">
      <c r="A288" s="110" t="str">
        <f ca="1">cofunding_comb_notes[too much]</f>
        <v/>
      </c>
      <c r="B288" s="110" t="str">
        <f ca="1">IF(Total_cofunding&gt;cofunding_max_perc*Total_project_budget,B55,"")</f>
        <v/>
      </c>
    </row>
  </sheetData>
  <sheetProtection algorithmName="SHA-512" hashValue="/8655RpCWE26k7dkR3XmVwqa02Tvtt76fQ0geSUENKZSLnkjxw39KNGDs9wi9He2N8mZ8IfmJn/sRyDTV1B5lQ==" saltValue="JwQoafVPrsitkACxnINA5g==" spinCount="100000" sheet="1" objects="1" scenarios="1"/>
  <phoneticPr fontId="24" type="noConversion"/>
  <pageMargins left="0.7" right="0.7" top="0.75" bottom="0.75" header="0.3" footer="0.3"/>
  <pageSetup paperSize="9" orientation="portrait" horizontalDpi="1200" verticalDpi="1200" r:id="rId1"/>
  <ignoredErrors>
    <ignoredError sqref="E11:E20" calculatedColumn="1"/>
  </ignoredErrors>
  <tableParts count="1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docMetadata/LabelInfo.xml><?xml version="1.0" encoding="utf-8"?>
<clbl:labelList xmlns:clbl="http://schemas.microsoft.com/office/2020/mipLabelMetadata">
  <clbl:label id="{81e63bdd-534e-4aaf-855a-4c017eec7126}" enabled="0" method="" siteId="{81e63bdd-534e-4aaf-855a-4c017eec71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99</vt:i4>
      </vt:variant>
    </vt:vector>
  </HeadingPairs>
  <TitlesOfParts>
    <vt:vector size="104" baseType="lpstr">
      <vt:lpstr>Summary</vt:lpstr>
      <vt:lpstr>Budget</vt:lpstr>
      <vt:lpstr>Budget modules and explanation</vt:lpstr>
      <vt:lpstr>parameters</vt:lpstr>
      <vt:lpstr>checks</vt:lpstr>
      <vt:lpstr>Budget!Afdrukbereik</vt:lpstr>
      <vt:lpstr>benchfee_amount</vt:lpstr>
      <vt:lpstr>callnaam</vt:lpstr>
      <vt:lpstr>cash_cofunding_minperc</vt:lpstr>
      <vt:lpstr>cash_invoice</vt:lpstr>
      <vt:lpstr>categories_pers_ac</vt:lpstr>
      <vt:lpstr>CfP_tariffs_other_inst</vt:lpstr>
      <vt:lpstr>cofunding_inkind_def_rates</vt:lpstr>
      <vt:lpstr>cofunding_max_perc</vt:lpstr>
      <vt:lpstr>cofunding_max_rate</vt:lpstr>
      <vt:lpstr>cofunding_min_perc</vt:lpstr>
      <vt:lpstr>cofunding_private_minperc</vt:lpstr>
      <vt:lpstr>cofunding_threshold</vt:lpstr>
      <vt:lpstr>date</vt:lpstr>
      <vt:lpstr>empty_lines</vt:lpstr>
      <vt:lpstr>file_creation_date</vt:lpstr>
      <vt:lpstr>File_number</vt:lpstr>
      <vt:lpstr>footer_KU_entrepeneurship2</vt:lpstr>
      <vt:lpstr>footer_materials</vt:lpstr>
      <vt:lpstr>footer_materials2</vt:lpstr>
      <vt:lpstr>HOT_rate_type</vt:lpstr>
      <vt:lpstr>HOT_rates</vt:lpstr>
      <vt:lpstr>inv_max_total_amount</vt:lpstr>
      <vt:lpstr>inv_min_perc_own_contr</vt:lpstr>
      <vt:lpstr>inv_min_total_amount</vt:lpstr>
      <vt:lpstr>inv_own_contribution</vt:lpstr>
      <vt:lpstr>KU_int_maxperc</vt:lpstr>
      <vt:lpstr>KU_maxperc</vt:lpstr>
      <vt:lpstr>KU_minperc</vt:lpstr>
      <vt:lpstr>list_ac_other_combined</vt:lpstr>
      <vt:lpstr>list_academic_personnel</vt:lpstr>
      <vt:lpstr>list_kind_cash_cofunding</vt:lpstr>
      <vt:lpstr>list_main_app</vt:lpstr>
      <vt:lpstr>list_personnel_other_inst</vt:lpstr>
      <vt:lpstr>Main_applicant</vt:lpstr>
      <vt:lpstr>mat_int_maxperc</vt:lpstr>
      <vt:lpstr>Mat_max_amount</vt:lpstr>
      <vt:lpstr>mat_max_NWOfunding</vt:lpstr>
      <vt:lpstr>mat_maxperc_pers</vt:lpstr>
      <vt:lpstr>Max_mat_FTE_year</vt:lpstr>
      <vt:lpstr>Max_NWO_funding</vt:lpstr>
      <vt:lpstr>max_NWO_funding_with_inv_nature</vt:lpstr>
      <vt:lpstr>max_NWO_funding_wo_inv_nature</vt:lpstr>
      <vt:lpstr>Max_project_duration</vt:lpstr>
      <vt:lpstr>Min_NWO_funding</vt:lpstr>
      <vt:lpstr>NFU_rates</vt:lpstr>
      <vt:lpstr>notes</vt:lpstr>
      <vt:lpstr>organisation_name</vt:lpstr>
      <vt:lpstr>organisation_type</vt:lpstr>
      <vt:lpstr>pers_3yPhD_min_months</vt:lpstr>
      <vt:lpstr>pers_fixed_max_amount</vt:lpstr>
      <vt:lpstr>pers_fixed_max_perc</vt:lpstr>
      <vt:lpstr>pers_int_amount_audit_stmnt</vt:lpstr>
      <vt:lpstr>pers_int_listname</vt:lpstr>
      <vt:lpstr>pers_int_maxamount</vt:lpstr>
      <vt:lpstr>pers_int_maxperc</vt:lpstr>
      <vt:lpstr>pers_int_maxpos</vt:lpstr>
      <vt:lpstr>pers_int_minamount</vt:lpstr>
      <vt:lpstr>pers_int_minperc</vt:lpstr>
      <vt:lpstr>pers_int_minpos</vt:lpstr>
      <vt:lpstr>pers_leave_maxperc</vt:lpstr>
      <vt:lpstr>pers_other_inst_max_perc</vt:lpstr>
      <vt:lpstr>pers_other_inst_max_pos</vt:lpstr>
      <vt:lpstr>pers_other_nrhours_year</vt:lpstr>
      <vt:lpstr>pers_PD_max_months</vt:lpstr>
      <vt:lpstr>pers_PD_min_FTE</vt:lpstr>
      <vt:lpstr>pers_PD_min_months</vt:lpstr>
      <vt:lpstr>pers_PDEng_max_months</vt:lpstr>
      <vt:lpstr>pers_PhD_max_months</vt:lpstr>
      <vt:lpstr>pers_PhD_min_months</vt:lpstr>
      <vt:lpstr>pers_phy_res_max_months</vt:lpstr>
      <vt:lpstr>pers_phy_res_min_months</vt:lpstr>
      <vt:lpstr>prog_mngmt_max_amount_perc</vt:lpstr>
      <vt:lpstr>prog_mngmt_threshold_amount</vt:lpstr>
      <vt:lpstr>Project_title</vt:lpstr>
      <vt:lpstr>Research_leave_FTE_months</vt:lpstr>
      <vt:lpstr>row_cofunding</vt:lpstr>
      <vt:lpstr>threshold_inv_nature</vt:lpstr>
      <vt:lpstr>threshold_own_contribution</vt:lpstr>
      <vt:lpstr>Total_benchfee</vt:lpstr>
      <vt:lpstr>Total_cash_via_NWO</vt:lpstr>
      <vt:lpstr>Total_cofunding</vt:lpstr>
      <vt:lpstr>Total_cofunding_incash</vt:lpstr>
      <vt:lpstr>Total_cofunding_inkind</vt:lpstr>
      <vt:lpstr>Total_excess_costs</vt:lpstr>
      <vt:lpstr>Total_Fin_NWO</vt:lpstr>
      <vt:lpstr>Total_incash_cofunding</vt:lpstr>
      <vt:lpstr>Total_investments_small</vt:lpstr>
      <vt:lpstr>Total_Knowledge_utilisation</vt:lpstr>
      <vt:lpstr>Total_material_costs</vt:lpstr>
      <vt:lpstr>Total_NWO_funding</vt:lpstr>
      <vt:lpstr>Total_personnel_ac_institutes</vt:lpstr>
      <vt:lpstr>Total_personnel_costs</vt:lpstr>
      <vt:lpstr>total_private_cof</vt:lpstr>
      <vt:lpstr>total_private_cof_incash</vt:lpstr>
      <vt:lpstr>total_private_cof_inkind</vt:lpstr>
      <vt:lpstr>Total_project_budget</vt:lpstr>
      <vt:lpstr>Total_resources</vt:lpstr>
      <vt:lpstr>VSNU_rates</vt:lpstr>
    </vt:vector>
  </TitlesOfParts>
  <Company>NWO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NWO</dc:creator>
  <cp:lastModifiedBy>Dilys Sandel</cp:lastModifiedBy>
  <cp:lastPrinted>2022-12-23T09:46:23Z</cp:lastPrinted>
  <dcterms:created xsi:type="dcterms:W3CDTF">2018-07-26T13:21:23Z</dcterms:created>
  <dcterms:modified xsi:type="dcterms:W3CDTF">2026-07-06T08:09:00Z</dcterms:modified>
</cp:coreProperties>
</file>