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mc:AlternateContent xmlns:mc="http://schemas.openxmlformats.org/markup-compatibility/2006">
    <mc:Choice Requires="x15">
      <x15ac:absPath xmlns:x15ac="http://schemas.microsoft.com/office/spreadsheetml/2010/11/ac" url="G:\Fundamenteel Onderzoek\4 NWO-Talentprogramma\4 Veni\5 Rondes\Ronde 2025\00 Voorbereiding\01 NWO formulieren\"/>
    </mc:Choice>
  </mc:AlternateContent>
  <xr:revisionPtr revIDLastSave="0" documentId="13_ncr:1_{F4C21D33-D337-4B15-A7FA-D5E40C97FE58}" xr6:coauthVersionLast="47" xr6:coauthVersionMax="47" xr10:uidLastSave="{00000000-0000-0000-0000-000000000000}"/>
  <workbookProtection workbookAlgorithmName="SHA-512" workbookHashValue="XZss8fjQGHg2UkeNdfeNX5Av0tn+yf37KHnZ88T0IP1bKthl2HoEY1SW3fi6GMC2Ta5XMyVcJlpUlCBybIU2YA==" workbookSaltValue="9hni4kDSRnSwZz0dWuWgAQ==" workbookSpinCount="100000" lockStructure="1"/>
  <bookViews>
    <workbookView xWindow="-120" yWindow="-120" windowWidth="29040" windowHeight="15720" firstSheet="1" activeTab="1" xr2:uid="{00000000-000D-0000-FFFF-FFFF00000000}"/>
  </bookViews>
  <sheets>
    <sheet name="Summary" sheetId="5" state="hidden" r:id="rId1"/>
    <sheet name="Budget" sheetId="1" r:id="rId2"/>
    <sheet name="Budget modules and explanation " sheetId="6" r:id="rId3"/>
    <sheet name="parameters" sheetId="3" state="hidden" r:id="rId4"/>
    <sheet name="checks" sheetId="4" state="hidden" r:id="rId5"/>
  </sheets>
  <definedNames>
    <definedName name="_xlnm.Print_Area" localSheetId="1">Budget!$A:$H</definedName>
    <definedName name="benchfee_amount">parameters!$B$29</definedName>
    <definedName name="callnaam">Budget!$A$1</definedName>
    <definedName name="cash_cofunding_minperc">parameters!$B$72</definedName>
    <definedName name="cash_invoice">parameters!$B$76</definedName>
    <definedName name="categories_pers_ac">salaries_academic[category]</definedName>
    <definedName name="CfP_tariffs_other_inst">parameters!$B$32</definedName>
    <definedName name="cofunding_inkind_def_rates">parameters!$B$74</definedName>
    <definedName name="cofunding_max_perc">parameters!$B$71</definedName>
    <definedName name="cofunding_max_rate">parameters!$B$75</definedName>
    <definedName name="cofunding_min_perc">parameters!$B$70</definedName>
    <definedName name="cofunding_perc">Budget!$H$15</definedName>
    <definedName name="cofunding_private_minperc">parameters!$B$73</definedName>
    <definedName name="cofunding_threshold">parameters!$B$69</definedName>
    <definedName name="date">Budget!$B$2</definedName>
    <definedName name="empty_lines">parameters!$B$12</definedName>
    <definedName name="file_creation_date">parameters!$B$3</definedName>
    <definedName name="File_number">Budget!$B$5</definedName>
    <definedName name="footer_KU_entrepeneurship2">Budget!$339:$339</definedName>
    <definedName name="footer_materials">Budget!$128:$128</definedName>
    <definedName name="footer_materials2">Budget!$129:$129</definedName>
    <definedName name="HOT_rate_type">parameters!$B$31</definedName>
    <definedName name="HOT_rates">parameters!$B$30</definedName>
    <definedName name="inv_max_total_amount">parameters!$B$57</definedName>
    <definedName name="inv_min_perc_own_contr">parameters!$B$55</definedName>
    <definedName name="inv_min_total_amount">parameters!$B$56</definedName>
    <definedName name="inv_own_contribution">parameters!$B$53</definedName>
    <definedName name="KU_int_maxperc">parameters!$B$62</definedName>
    <definedName name="KU_maxperc">parameters!$B$61</definedName>
    <definedName name="KU_minperc">parameters!$B$60</definedName>
    <definedName name="list_ac_other_combined">list_combined[list type institute - combined:]</definedName>
    <definedName name="list_academic_personnel">list_academic[type institute - academic:]</definedName>
    <definedName name="list_kind_cash_cofunding">list_cofunders[list cofunders]</definedName>
    <definedName name="list_main_app">list_main_applicant[type institute - org main applicant:]</definedName>
    <definedName name="list_personnel_other_inst">list_other[list type institute - other institutes:]</definedName>
    <definedName name="Main_applicant">Budget!$E$2</definedName>
    <definedName name="mat_int_maxperc">parameters!$B$49</definedName>
    <definedName name="Mat_max_amount">parameters!$B$47</definedName>
    <definedName name="mat_maxperc_pers">parameters!$B$48</definedName>
    <definedName name="Max_mat_FTE_year">parameters!$B$47</definedName>
    <definedName name="Max_NWO_funding">parameters!$B$8</definedName>
    <definedName name="max_NWO_funding_with_inv_nature">parameters!$B$7</definedName>
    <definedName name="max_NWO_funding_wo_inv_nature">parameters!$B$6</definedName>
    <definedName name="Max_project_duration">parameters!$B$9</definedName>
    <definedName name="Min_NWO_funding">parameters!$B$4</definedName>
    <definedName name="NFU_rates">parameters!$B$16</definedName>
    <definedName name="notes">Budget!$I$1</definedName>
    <definedName name="organisation_name">parameters!$B$11</definedName>
    <definedName name="organisation_type">parameters!$B$10</definedName>
    <definedName name="pers_3yPhD_min_months">parameters!$B$19</definedName>
    <definedName name="pers_fixed_max_amount">parameters!$B$27</definedName>
    <definedName name="pers_fixed_max_perc">parameters!$B$28</definedName>
    <definedName name="pers_int_amount_audit_stmnt">parameters!$B$41</definedName>
    <definedName name="pers_int_listname">parameters!$B$34</definedName>
    <definedName name="pers_int_maxamount">parameters!$B$38</definedName>
    <definedName name="pers_int_maxperc">parameters!$B$40</definedName>
    <definedName name="pers_int_maxpos">parameters!$B$36</definedName>
    <definedName name="pers_int_minamount">parameters!$B$37</definedName>
    <definedName name="pers_int_minperc">parameters!$B$39</definedName>
    <definedName name="pers_int_minpos">parameters!$B$35</definedName>
    <definedName name="pers_leave_maxperc">parameters!$B$26</definedName>
    <definedName name="pers_other_inst_max_perc">parameters!$B$43</definedName>
    <definedName name="pers_other_inst_max_pos">parameters!$B$42</definedName>
    <definedName name="pers_other_nrhours_year">parameters!$B$33</definedName>
    <definedName name="pers_PD_max_months">parameters!$B$23</definedName>
    <definedName name="pers_PD_min_FTE">parameters!$B$22</definedName>
    <definedName name="pers_PD_min_months">parameters!$B$21</definedName>
    <definedName name="pers_PDEng_max_months">parameters!$B$20</definedName>
    <definedName name="pers_PhD_max_months">parameters!$B$18</definedName>
    <definedName name="pers_PhD_min_months">parameters!$B$17</definedName>
    <definedName name="pers_phy_res_max_months">parameters!$B$25</definedName>
    <definedName name="pers_phy_res_min_months">parameters!$B$24</definedName>
    <definedName name="prog_mngmt_max_amount_perc">parameters!$B$65</definedName>
    <definedName name="prog_mngmt_threshold_amount">parameters!$B$66</definedName>
    <definedName name="Project_title">Budget!$B$3</definedName>
    <definedName name="Research_leave_FTE_months">checks!$C$21</definedName>
    <definedName name="row_cofunding">Summary!$G$34</definedName>
    <definedName name="threshold_inv_nature">parameters!$B$5</definedName>
    <definedName name="threshold_own_contribution">parameters!$B$54</definedName>
    <definedName name="Total_benchfee">benchfee[[#Totals],[Amount]]</definedName>
    <definedName name="Total_cash">Total_invest_by_KI+Total_cofunding_incash+Total_projectfee</definedName>
    <definedName name="Total_cash_via_NWO">Summary!$C$28</definedName>
    <definedName name="Total_cofunding">Budget!$H$156</definedName>
    <definedName name="Total_cofunding_incash">incash[[#Totals],[Amount]]</definedName>
    <definedName name="Total_cofunding_inkind">inkind[[#Totals],[Amount]]</definedName>
    <definedName name="Total_excess_costs">excess_costs[[#Totals],[Amount]]</definedName>
    <definedName name="Total_Fin_NWO">Summary!$B$32</definedName>
    <definedName name="Total_fixed_pers">0</definedName>
    <definedName name="Total_incash_cofunding">incash[[#Totals],[Amount]]</definedName>
    <definedName name="Total_invest_by_KI">0</definedName>
    <definedName name="Total_investments">SUM(investments_small[Amount])</definedName>
    <definedName name="Total_investments_large">0</definedName>
    <definedName name="Total_investments_small">investments_small[[#Totals],[Amount]]</definedName>
    <definedName name="Total_Knowledge_utilisation">Budget!$H$118</definedName>
    <definedName name="Total_material_costs">materials[[#Totals],[Amount]]</definedName>
    <definedName name="Total_NWO_funding">Budget!$H$9</definedName>
    <definedName name="Total_other_inst_2021">0</definedName>
    <definedName name="Total_personnel_ac_institutes">Budget!$H$34</definedName>
    <definedName name="Total_personnel_costs">Budget!$H$49</definedName>
    <definedName name="Total_personnel_other">0</definedName>
    <definedName name="total_private_cof">checks!$Q$22</definedName>
    <definedName name="total_private_cof_incash">checks!$Q$21</definedName>
    <definedName name="total_private_cof_inkind">checks!$P$21</definedName>
    <definedName name="Total_project_budget">Budget!$H$8</definedName>
    <definedName name="Total_project_mngmnt">0</definedName>
    <definedName name="Total_projectfee">0</definedName>
    <definedName name="Total_resources">Summary!$B$18</definedName>
    <definedName name="VSNU_rates">parameters!$B$15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17" i="4" l="1" a="1"/>
  <c r="Y117" i="4" s="1"/>
  <c r="Y118" i="4" a="1"/>
  <c r="Y118" i="4" s="1"/>
  <c r="Y119" i="4" a="1"/>
  <c r="Y119" i="4" s="1"/>
  <c r="Y120" i="4" a="1"/>
  <c r="Y120" i="4" s="1"/>
  <c r="Y121" i="4" a="1"/>
  <c r="Y121" i="4" s="1"/>
  <c r="Y122" i="4" a="1"/>
  <c r="Y122" i="4" s="1"/>
  <c r="Y123" i="4" a="1"/>
  <c r="Y123" i="4" s="1"/>
  <c r="Y124" i="4" a="1"/>
  <c r="Y124" i="4" s="1"/>
  <c r="Y125" i="4" a="1"/>
  <c r="Y125" i="4" s="1"/>
  <c r="Y126" i="4" a="1"/>
  <c r="Y126" i="4" s="1"/>
  <c r="X117" i="4" a="1"/>
  <c r="X117" i="4" s="1"/>
  <c r="X118" i="4" a="1"/>
  <c r="X118" i="4" s="1"/>
  <c r="X119" i="4" a="1"/>
  <c r="X119" i="4" s="1"/>
  <c r="X120" i="4" a="1"/>
  <c r="X120" i="4" s="1"/>
  <c r="X121" i="4" a="1"/>
  <c r="X121" i="4" s="1"/>
  <c r="X122" i="4" a="1"/>
  <c r="X122" i="4" s="1"/>
  <c r="X123" i="4" a="1"/>
  <c r="X123" i="4" s="1"/>
  <c r="X124" i="4" a="1"/>
  <c r="X124" i="4" s="1"/>
  <c r="X125" i="4" a="1"/>
  <c r="X125" i="4" s="1"/>
  <c r="X126" i="4" a="1"/>
  <c r="X126" i="4" s="1"/>
  <c r="W117" i="4"/>
  <c r="H29" i="1"/>
  <c r="B13" i="5" l="1"/>
  <c r="H127" i="1"/>
  <c r="H10" i="1" s="1" a="1"/>
  <c r="H10" i="1" s="1"/>
  <c r="I275" i="4"/>
  <c r="I276" i="4"/>
  <c r="I277" i="4"/>
  <c r="I278" i="4"/>
  <c r="I279" i="4"/>
  <c r="I280" i="4"/>
  <c r="I281" i="4"/>
  <c r="I282" i="4"/>
  <c r="I283" i="4"/>
  <c r="I284" i="4"/>
  <c r="I285" i="4"/>
  <c r="I286" i="4"/>
  <c r="I287" i="4"/>
  <c r="I288" i="4"/>
  <c r="I289" i="4"/>
  <c r="I98" i="1" l="1" a="1"/>
  <c r="I98" i="1" s="1"/>
  <c r="AD117" i="4"/>
  <c r="AD118" i="4"/>
  <c r="AD119" i="4"/>
  <c r="AD120" i="4"/>
  <c r="AD121" i="4"/>
  <c r="AD122" i="4"/>
  <c r="AD123" i="4"/>
  <c r="AD124" i="4"/>
  <c r="AD125" i="4"/>
  <c r="AD126" i="4"/>
  <c r="C117" i="4"/>
  <c r="C118" i="4"/>
  <c r="C119" i="4"/>
  <c r="C120" i="4"/>
  <c r="C121" i="4"/>
  <c r="C122" i="4"/>
  <c r="C123" i="4"/>
  <c r="C124" i="4"/>
  <c r="C125" i="4"/>
  <c r="C126" i="4"/>
  <c r="B72" i="4" l="1"/>
  <c r="B71" i="4"/>
  <c r="B67" i="4"/>
  <c r="T11" i="4"/>
  <c r="T12" i="4" s="1"/>
  <c r="T13" i="4" s="1"/>
  <c r="T14" i="4" s="1"/>
  <c r="T15" i="4" s="1"/>
  <c r="T16" i="4" s="1"/>
  <c r="T17" i="4" s="1"/>
  <c r="T18" i="4" s="1"/>
  <c r="T19" i="4" s="1"/>
  <c r="T20" i="4" s="1"/>
  <c r="B11" i="4"/>
  <c r="B12" i="4" s="1"/>
  <c r="B13" i="4" s="1"/>
  <c r="B14" i="4" s="1"/>
  <c r="B15" i="4" s="1"/>
  <c r="B16" i="4" s="1"/>
  <c r="B17" i="4" s="1"/>
  <c r="B18" i="4" s="1"/>
  <c r="B19" i="4" s="1"/>
  <c r="B20" i="4" s="1"/>
  <c r="J97" i="1"/>
  <c r="J98" i="1" s="1"/>
  <c r="I83" i="1"/>
  <c r="I84" i="1"/>
  <c r="I85" i="1"/>
  <c r="I86" i="1"/>
  <c r="I87" i="1"/>
  <c r="I88" i="1"/>
  <c r="I89" i="1"/>
  <c r="I90" i="1"/>
  <c r="I91" i="1"/>
  <c r="I92" i="1"/>
  <c r="I93" i="1"/>
  <c r="I94" i="1"/>
  <c r="I95" i="1"/>
  <c r="I96" i="1"/>
  <c r="I82" i="1"/>
  <c r="J78" i="1"/>
  <c r="H78" i="1"/>
  <c r="J154" i="1"/>
  <c r="J141" i="1"/>
  <c r="J118" i="1"/>
  <c r="J48" i="1"/>
  <c r="J34" i="1"/>
  <c r="J49" i="1" s="1"/>
  <c r="J155" i="1" l="1"/>
  <c r="V11" i="4"/>
  <c r="V20" i="4"/>
  <c r="V19" i="4"/>
  <c r="V18" i="4"/>
  <c r="V17" i="4"/>
  <c r="V15" i="4"/>
  <c r="V14" i="4"/>
  <c r="V13" i="4"/>
  <c r="V16" i="4"/>
  <c r="V12" i="4"/>
  <c r="U12" i="4"/>
  <c r="U11" i="4"/>
  <c r="U20" i="4"/>
  <c r="U19" i="4"/>
  <c r="U18" i="4"/>
  <c r="U17" i="4"/>
  <c r="U16" i="4"/>
  <c r="U15" i="4"/>
  <c r="U14" i="4"/>
  <c r="U13" i="4"/>
  <c r="H118" i="1"/>
  <c r="N117" i="4" l="1" a="1"/>
  <c r="N117" i="4" s="1"/>
  <c r="N123" i="4" a="1"/>
  <c r="N123" i="4" s="1"/>
  <c r="N118" i="4" a="1"/>
  <c r="N118" i="4" s="1"/>
  <c r="N124" i="4" a="1"/>
  <c r="N124" i="4" s="1"/>
  <c r="N119" i="4" a="1"/>
  <c r="N119" i="4" s="1"/>
  <c r="N125" i="4" a="1"/>
  <c r="N125" i="4" s="1"/>
  <c r="N120" i="4" a="1"/>
  <c r="N120" i="4" s="1"/>
  <c r="N126" i="4" a="1"/>
  <c r="N126" i="4" s="1"/>
  <c r="N121" i="4" a="1"/>
  <c r="N121" i="4" s="1"/>
  <c r="N122" i="4" a="1"/>
  <c r="N122" i="4" s="1"/>
  <c r="W13" i="4"/>
  <c r="W14" i="4"/>
  <c r="W19" i="4"/>
  <c r="W16" i="4"/>
  <c r="W11" i="4"/>
  <c r="W20" i="4"/>
  <c r="W18" i="4"/>
  <c r="W15" i="4"/>
  <c r="W17" i="4"/>
  <c r="W12" i="4"/>
  <c r="W118" i="4"/>
  <c r="W119" i="4"/>
  <c r="W120" i="4"/>
  <c r="W121" i="4"/>
  <c r="W122" i="4"/>
  <c r="W123" i="4"/>
  <c r="W124" i="4"/>
  <c r="W125" i="4"/>
  <c r="W126" i="4"/>
  <c r="V117" i="4"/>
  <c r="V118" i="4"/>
  <c r="V119" i="4"/>
  <c r="V120" i="4"/>
  <c r="V121" i="4"/>
  <c r="V122" i="4"/>
  <c r="V123" i="4"/>
  <c r="V124" i="4"/>
  <c r="V125" i="4"/>
  <c r="V126" i="4"/>
  <c r="I146" i="1"/>
  <c r="I147" i="1"/>
  <c r="I148" i="1"/>
  <c r="I149" i="1"/>
  <c r="I150" i="1"/>
  <c r="I151" i="1"/>
  <c r="I152" i="1"/>
  <c r="I153" i="1"/>
  <c r="I154" i="1"/>
  <c r="I145" i="1"/>
  <c r="B76" i="4"/>
  <c r="B75" i="4"/>
  <c r="B73" i="4"/>
  <c r="C131" i="4"/>
  <c r="C132"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46" i="4"/>
  <c r="H205" i="4" l="1"/>
  <c r="H193" i="4"/>
  <c r="H181" i="4"/>
  <c r="H177" i="4"/>
  <c r="H176" i="4"/>
  <c r="G223" i="4"/>
  <c r="H191" i="4"/>
  <c r="H226" i="4"/>
  <c r="H189" i="4"/>
  <c r="G131" i="4"/>
  <c r="D140" i="4" a="1"/>
  <c r="D140" i="4" s="1"/>
  <c r="D150" i="4" a="1"/>
  <c r="D150" i="4" s="1"/>
  <c r="D181" i="4" a="1"/>
  <c r="D181" i="4" s="1"/>
  <c r="H212" i="4"/>
  <c r="G211" i="4"/>
  <c r="H132" i="4"/>
  <c r="H141" i="4"/>
  <c r="G151" i="4"/>
  <c r="D161" i="4" a="1"/>
  <c r="D161" i="4" s="1"/>
  <c r="G172" i="4"/>
  <c r="D192" i="4" a="1"/>
  <c r="D192" i="4" s="1"/>
  <c r="H133" i="4"/>
  <c r="G162" i="4"/>
  <c r="D193" i="4" a="1"/>
  <c r="D193" i="4" s="1"/>
  <c r="H203" i="4"/>
  <c r="D214" i="4" a="1"/>
  <c r="D214" i="4" s="1"/>
  <c r="H225" i="4"/>
  <c r="D153" i="4" a="1"/>
  <c r="D153" i="4" s="1"/>
  <c r="G163" i="4"/>
  <c r="D143" i="4" a="1"/>
  <c r="D143" i="4" s="1"/>
  <c r="H154" i="4"/>
  <c r="D164" i="4" a="1"/>
  <c r="D164" i="4" s="1"/>
  <c r="G174" i="4"/>
  <c r="G195" i="4"/>
  <c r="H144" i="4"/>
  <c r="G175" i="4"/>
  <c r="D185" i="4" a="1"/>
  <c r="D185" i="4" s="1"/>
  <c r="D196" i="4" a="1"/>
  <c r="D196" i="4" s="1"/>
  <c r="H216" i="4"/>
  <c r="H228" i="4"/>
  <c r="G222" i="4"/>
  <c r="H145" i="4"/>
  <c r="D176" i="4" a="1"/>
  <c r="D176" i="4" s="1"/>
  <c r="G186" i="4"/>
  <c r="H207" i="4"/>
  <c r="G217" i="4"/>
  <c r="H229" i="4"/>
  <c r="G160" i="4"/>
  <c r="G146" i="4"/>
  <c r="G187" i="4"/>
  <c r="G218" i="4"/>
  <c r="D230" i="4" a="1"/>
  <c r="D230" i="4" s="1"/>
  <c r="H170" i="4"/>
  <c r="D137" i="4" a="1"/>
  <c r="D137" i="4" s="1"/>
  <c r="D157" i="4" a="1"/>
  <c r="D157" i="4" s="1"/>
  <c r="G167" i="4"/>
  <c r="G198" i="4"/>
  <c r="H180" i="4"/>
  <c r="D138" i="4" a="1"/>
  <c r="D138" i="4" s="1"/>
  <c r="G148" i="4"/>
  <c r="G158" i="4"/>
  <c r="G168" i="4"/>
  <c r="D199" i="4" a="1"/>
  <c r="D199" i="4" s="1"/>
  <c r="D209" i="4" a="1"/>
  <c r="D209" i="4" s="1"/>
  <c r="G139" i="4"/>
  <c r="H169" i="4"/>
  <c r="H179" i="4"/>
  <c r="H190" i="4"/>
  <c r="H200" i="4"/>
  <c r="H210" i="4"/>
  <c r="H214" i="4"/>
  <c r="H178" i="4"/>
  <c r="H142" i="4"/>
  <c r="H201" i="4"/>
  <c r="H224" i="4"/>
  <c r="G221" i="4"/>
  <c r="G209" i="4"/>
  <c r="G197" i="4"/>
  <c r="G185" i="4"/>
  <c r="G173" i="4"/>
  <c r="G161" i="4"/>
  <c r="G149" i="4"/>
  <c r="H156" i="4"/>
  <c r="H202" i="4"/>
  <c r="H165" i="4"/>
  <c r="H188" i="4"/>
  <c r="G220" i="4"/>
  <c r="G208" i="4"/>
  <c r="G184" i="4"/>
  <c r="G136" i="4"/>
  <c r="H204" i="4"/>
  <c r="H215" i="4"/>
  <c r="H155" i="4"/>
  <c r="H166" i="4"/>
  <c r="H153" i="4"/>
  <c r="H152" i="4"/>
  <c r="G219" i="4"/>
  <c r="G207" i="4"/>
  <c r="G183" i="4"/>
  <c r="G171" i="4"/>
  <c r="G159" i="4"/>
  <c r="G147" i="4"/>
  <c r="G135" i="4"/>
  <c r="H227" i="4"/>
  <c r="H143" i="4"/>
  <c r="H213" i="4"/>
  <c r="H230" i="4"/>
  <c r="H218" i="4"/>
  <c r="H206" i="4"/>
  <c r="H194" i="4"/>
  <c r="H182" i="4"/>
  <c r="D134" i="4" a="1"/>
  <c r="D134" i="4" s="1"/>
  <c r="D213" i="4" a="1"/>
  <c r="D213" i="4" s="1"/>
  <c r="D212" i="4" a="1"/>
  <c r="D212" i="4" s="1"/>
  <c r="D132" i="4" a="1"/>
  <c r="D132" i="4" s="1"/>
  <c r="D202" i="4" a="1"/>
  <c r="D202" i="4" s="1"/>
  <c r="D191" i="4" a="1"/>
  <c r="D191" i="4" s="1"/>
  <c r="D182" i="4" a="1"/>
  <c r="D182" i="4" s="1"/>
  <c r="D151" i="4" a="1"/>
  <c r="D151" i="4" s="1"/>
  <c r="D223" i="4" a="1"/>
  <c r="D223" i="4" s="1"/>
  <c r="D141" i="4" a="1"/>
  <c r="D141" i="4" s="1"/>
  <c r="D222" i="4" a="1"/>
  <c r="D222" i="4" s="1"/>
  <c r="D221" i="4" a="1"/>
  <c r="D221" i="4" s="1"/>
  <c r="D211" i="4" a="1"/>
  <c r="D211" i="4" s="1"/>
  <c r="D201" i="4" a="1"/>
  <c r="D201" i="4" s="1"/>
  <c r="D180" i="4" a="1"/>
  <c r="D180" i="4" s="1"/>
  <c r="D149" i="4" a="1"/>
  <c r="D149" i="4" s="1"/>
  <c r="D139" i="4" a="1"/>
  <c r="D139" i="4" s="1"/>
  <c r="D190" i="4" a="1"/>
  <c r="D190" i="4" s="1"/>
  <c r="D179" i="4" a="1"/>
  <c r="D179" i="4" s="1"/>
  <c r="D169" i="4" a="1"/>
  <c r="D169" i="4" s="1"/>
  <c r="D159" i="4" a="1"/>
  <c r="D159" i="4" s="1"/>
  <c r="D220" i="4" a="1"/>
  <c r="D220" i="4" s="1"/>
  <c r="D189" i="4" a="1"/>
  <c r="D189" i="4" s="1"/>
  <c r="D168" i="4" a="1"/>
  <c r="D168" i="4" s="1"/>
  <c r="D148" i="4" a="1"/>
  <c r="D148" i="4" s="1"/>
  <c r="D229" i="4" a="1"/>
  <c r="D229" i="4" s="1"/>
  <c r="D219" i="4" a="1"/>
  <c r="D219" i="4" s="1"/>
  <c r="D198" i="4" a="1"/>
  <c r="D198" i="4" s="1"/>
  <c r="D188" i="4" a="1"/>
  <c r="D188" i="4" s="1"/>
  <c r="D178" i="4" a="1"/>
  <c r="D178" i="4" s="1"/>
  <c r="D147" i="4" a="1"/>
  <c r="D147" i="4" s="1"/>
  <c r="D228" i="4" a="1"/>
  <c r="D228" i="4" s="1"/>
  <c r="D208" i="4" a="1"/>
  <c r="D208" i="4" s="1"/>
  <c r="D197" i="4" a="1"/>
  <c r="D197" i="4" s="1"/>
  <c r="D187" i="4" a="1"/>
  <c r="D187" i="4" s="1"/>
  <c r="D177" i="4" a="1"/>
  <c r="D177" i="4" s="1"/>
  <c r="D156" i="4" a="1"/>
  <c r="D156" i="4" s="1"/>
  <c r="D136" i="4" a="1"/>
  <c r="D136" i="4" s="1"/>
  <c r="D227" i="4" a="1"/>
  <c r="D227" i="4" s="1"/>
  <c r="D207" i="4" a="1"/>
  <c r="D207" i="4" s="1"/>
  <c r="D186" i="4" a="1"/>
  <c r="D186" i="4" s="1"/>
  <c r="D166" i="4" a="1"/>
  <c r="D166" i="4" s="1"/>
  <c r="D155" i="4" a="1"/>
  <c r="D155" i="4" s="1"/>
  <c r="D145" i="4" a="1"/>
  <c r="D145" i="4" s="1"/>
  <c r="D135" i="4" a="1"/>
  <c r="D135" i="4" s="1"/>
  <c r="D206" i="4" a="1"/>
  <c r="D206" i="4" s="1"/>
  <c r="D175" i="4" a="1"/>
  <c r="D175" i="4" s="1"/>
  <c r="D165" i="4" a="1"/>
  <c r="D165" i="4" s="1"/>
  <c r="D144" i="4" a="1"/>
  <c r="D144" i="4" s="1"/>
  <c r="D226" i="4" a="1"/>
  <c r="D226" i="4" s="1"/>
  <c r="D215" i="4" a="1"/>
  <c r="D215" i="4" s="1"/>
  <c r="D205" i="4" a="1"/>
  <c r="D205" i="4" s="1"/>
  <c r="D174" i="4" a="1"/>
  <c r="D174" i="4" s="1"/>
  <c r="D133" i="4" a="1"/>
  <c r="D133" i="4" s="1"/>
  <c r="D171" i="4" a="1"/>
  <c r="D171" i="4" s="1"/>
  <c r="D225" i="4" a="1"/>
  <c r="D225" i="4" s="1"/>
  <c r="D204" i="4" a="1"/>
  <c r="D204" i="4" s="1"/>
  <c r="D194" i="4" a="1"/>
  <c r="D194" i="4" s="1"/>
  <c r="D184" i="4" a="1"/>
  <c r="D184" i="4" s="1"/>
  <c r="D173" i="4" a="1"/>
  <c r="D173" i="4" s="1"/>
  <c r="D163" i="4" a="1"/>
  <c r="D163" i="4" s="1"/>
  <c r="D224" i="4" a="1"/>
  <c r="D224" i="4" s="1"/>
  <c r="D183" i="4" a="1"/>
  <c r="D183" i="4" s="1"/>
  <c r="D162" i="4" a="1"/>
  <c r="D162" i="4" s="1"/>
  <c r="D152" i="4" a="1"/>
  <c r="D152" i="4" s="1"/>
  <c r="D142" i="4" a="1"/>
  <c r="D142" i="4" s="1"/>
  <c r="D131" i="4" a="1"/>
  <c r="D131" i="4" s="1"/>
  <c r="H187" i="4"/>
  <c r="G206" i="4"/>
  <c r="G194" i="4"/>
  <c r="H163" i="4"/>
  <c r="G182" i="4"/>
  <c r="H139" i="4"/>
  <c r="H175" i="4"/>
  <c r="H223" i="4"/>
  <c r="H211" i="4"/>
  <c r="G229" i="4"/>
  <c r="G205" i="4"/>
  <c r="G193" i="4"/>
  <c r="G181" i="4"/>
  <c r="G169" i="4"/>
  <c r="G145" i="4"/>
  <c r="G133" i="4"/>
  <c r="H222" i="4"/>
  <c r="H198" i="4"/>
  <c r="H174" i="4"/>
  <c r="H162" i="4"/>
  <c r="H138" i="4"/>
  <c r="G228" i="4"/>
  <c r="G204" i="4"/>
  <c r="G192" i="4"/>
  <c r="G180" i="4"/>
  <c r="G156" i="4"/>
  <c r="G144" i="4"/>
  <c r="G132" i="4"/>
  <c r="H221" i="4"/>
  <c r="H209" i="4"/>
  <c r="H197" i="4"/>
  <c r="H185" i="4"/>
  <c r="H173" i="4"/>
  <c r="H161" i="4"/>
  <c r="H149" i="4"/>
  <c r="G227" i="4"/>
  <c r="G215" i="4"/>
  <c r="G191" i="4"/>
  <c r="G155" i="4"/>
  <c r="G143" i="4"/>
  <c r="H220" i="4"/>
  <c r="H208" i="4"/>
  <c r="H196" i="4"/>
  <c r="H184" i="4"/>
  <c r="H136" i="4"/>
  <c r="G226" i="4"/>
  <c r="G202" i="4"/>
  <c r="G190" i="4"/>
  <c r="G178" i="4"/>
  <c r="G166" i="4"/>
  <c r="G154" i="4"/>
  <c r="G142" i="4"/>
  <c r="H219" i="4"/>
  <c r="H183" i="4"/>
  <c r="H171" i="4"/>
  <c r="H159" i="4"/>
  <c r="H147" i="4"/>
  <c r="H135" i="4"/>
  <c r="G225" i="4"/>
  <c r="G213" i="4"/>
  <c r="G201" i="4"/>
  <c r="G189" i="4"/>
  <c r="G177" i="4"/>
  <c r="G165" i="4"/>
  <c r="G141" i="4"/>
  <c r="G224" i="4"/>
  <c r="G212" i="4"/>
  <c r="G200" i="4"/>
  <c r="G188" i="4"/>
  <c r="G176" i="4"/>
  <c r="G164" i="4"/>
  <c r="G152" i="4"/>
  <c r="G210" i="4" l="1"/>
  <c r="G199" i="4"/>
  <c r="H157" i="4"/>
  <c r="G216" i="4"/>
  <c r="G157" i="4"/>
  <c r="G170" i="4"/>
  <c r="D218" i="4" a="1"/>
  <c r="D218" i="4" s="1"/>
  <c r="D158" i="4" a="1"/>
  <c r="D158" i="4" s="1"/>
  <c r="D200" i="4" a="1"/>
  <c r="D200" i="4" s="1"/>
  <c r="G196" i="4"/>
  <c r="D172" i="4" a="1"/>
  <c r="D172" i="4" s="1"/>
  <c r="D160" i="4" a="1"/>
  <c r="D160" i="4" s="1"/>
  <c r="H146" i="4"/>
  <c r="H168" i="4"/>
  <c r="H131" i="4"/>
  <c r="H217" i="4"/>
  <c r="D217" i="4" a="1"/>
  <c r="D217" i="4" s="1"/>
  <c r="G214" i="4"/>
  <c r="G179" i="4"/>
  <c r="G230" i="4"/>
  <c r="D203" i="4" a="1"/>
  <c r="D203" i="4" s="1"/>
  <c r="D167" i="4" a="1"/>
  <c r="D167" i="4" s="1"/>
  <c r="D170" i="4" a="1"/>
  <c r="D170" i="4" s="1"/>
  <c r="H158" i="4"/>
  <c r="H140" i="4"/>
  <c r="G138" i="4"/>
  <c r="H192" i="4"/>
  <c r="H167" i="4"/>
  <c r="H150" i="4"/>
  <c r="H186" i="4"/>
  <c r="H199" i="4"/>
  <c r="D154" i="4" a="1"/>
  <c r="D154" i="4" s="1"/>
  <c r="D146" i="4" a="1"/>
  <c r="D146" i="4" s="1"/>
  <c r="G150" i="4"/>
  <c r="H164" i="4"/>
  <c r="H195" i="4"/>
  <c r="H148" i="4"/>
  <c r="G203" i="4"/>
  <c r="H151" i="4"/>
  <c r="D216" i="4" a="1"/>
  <c r="D216" i="4" s="1"/>
  <c r="D210" i="4" a="1"/>
  <c r="D210" i="4" s="1"/>
  <c r="G153" i="4"/>
  <c r="H160" i="4"/>
  <c r="G140" i="4"/>
  <c r="H172" i="4"/>
  <c r="D195" i="4" a="1"/>
  <c r="D195" i="4" s="1"/>
  <c r="E131" i="4" a="1"/>
  <c r="E131" i="4" s="1"/>
  <c r="B49" i="4"/>
  <c r="B48" i="4"/>
  <c r="C248" i="4"/>
  <c r="C249" i="4"/>
  <c r="C250" i="4"/>
  <c r="C251" i="4"/>
  <c r="C252" i="4"/>
  <c r="C253" i="4"/>
  <c r="C254" i="4"/>
  <c r="C255" i="4"/>
  <c r="C256" i="4"/>
  <c r="C257" i="4"/>
  <c r="C258" i="4"/>
  <c r="C259" i="4"/>
  <c r="C260" i="4"/>
  <c r="C261" i="4"/>
  <c r="C262" i="4"/>
  <c r="C263" i="4"/>
  <c r="C264" i="4"/>
  <c r="C265" i="4"/>
  <c r="C266" i="4"/>
  <c r="C267" i="4"/>
  <c r="C268" i="4"/>
  <c r="C269" i="4"/>
  <c r="C270" i="4"/>
  <c r="C276" i="4"/>
  <c r="C277" i="4"/>
  <c r="C278" i="4"/>
  <c r="C279" i="4"/>
  <c r="C280" i="4"/>
  <c r="C281" i="4"/>
  <c r="C282" i="4"/>
  <c r="C283" i="4"/>
  <c r="C284" i="4"/>
  <c r="C285" i="4"/>
  <c r="C286" i="4"/>
  <c r="C287" i="4"/>
  <c r="C288" i="4"/>
  <c r="C289" i="4"/>
  <c r="H276" i="4"/>
  <c r="H277" i="4"/>
  <c r="H278" i="4"/>
  <c r="H279" i="4"/>
  <c r="H280" i="4"/>
  <c r="H281" i="4"/>
  <c r="H282" i="4"/>
  <c r="H283" i="4"/>
  <c r="H284" i="4"/>
  <c r="H285" i="4"/>
  <c r="H286" i="4"/>
  <c r="H287" i="4"/>
  <c r="H288" i="4"/>
  <c r="H289" i="4"/>
  <c r="E247" i="4"/>
  <c r="D276" i="4"/>
  <c r="D277" i="4"/>
  <c r="D278" i="4"/>
  <c r="D279" i="4"/>
  <c r="D280" i="4"/>
  <c r="D281" i="4"/>
  <c r="D282" i="4"/>
  <c r="D283" i="4"/>
  <c r="D284" i="4"/>
  <c r="D285" i="4"/>
  <c r="D286" i="4"/>
  <c r="D287" i="4"/>
  <c r="D288" i="4"/>
  <c r="D289" i="4"/>
  <c r="B86" i="4"/>
  <c r="B85" i="4"/>
  <c r="B87" i="4"/>
  <c r="D246" i="4"/>
  <c r="B78" i="4"/>
  <c r="B79" i="4"/>
  <c r="B77" i="4"/>
  <c r="E140" i="4" l="1" a="1"/>
  <c r="E140" i="4" s="1"/>
  <c r="E158" i="4" a="1"/>
  <c r="E158" i="4" s="1"/>
  <c r="E176" i="4" a="1"/>
  <c r="E176" i="4" s="1"/>
  <c r="E194" i="4" a="1"/>
  <c r="E194" i="4" s="1"/>
  <c r="E212" i="4" a="1"/>
  <c r="E212" i="4" s="1"/>
  <c r="E230" i="4" a="1"/>
  <c r="E230" i="4" s="1"/>
  <c r="E141" i="4" a="1"/>
  <c r="E141" i="4" s="1"/>
  <c r="E149" i="4" a="1"/>
  <c r="E149" i="4" s="1"/>
  <c r="E159" i="4" a="1"/>
  <c r="E159" i="4" s="1"/>
  <c r="E167" i="4" a="1"/>
  <c r="E167" i="4" s="1"/>
  <c r="E177" i="4" a="1"/>
  <c r="E177" i="4" s="1"/>
  <c r="E185" i="4" a="1"/>
  <c r="E185" i="4" s="1"/>
  <c r="E195" i="4" a="1"/>
  <c r="E195" i="4" s="1"/>
  <c r="E203" i="4" a="1"/>
  <c r="E203" i="4" s="1"/>
  <c r="E213" i="4" a="1"/>
  <c r="E213" i="4" s="1"/>
  <c r="E221" i="4" a="1"/>
  <c r="E221" i="4" s="1"/>
  <c r="E132" i="4" a="1"/>
  <c r="E132" i="4" s="1"/>
  <c r="E150" i="4" a="1"/>
  <c r="E150" i="4" s="1"/>
  <c r="E168" i="4" a="1"/>
  <c r="E168" i="4" s="1"/>
  <c r="E186" i="4" a="1"/>
  <c r="E186" i="4" s="1"/>
  <c r="E204" i="4" a="1"/>
  <c r="E204" i="4" s="1"/>
  <c r="E222" i="4" a="1"/>
  <c r="E222" i="4" s="1"/>
  <c r="E157" i="4" a="1"/>
  <c r="E157" i="4" s="1"/>
  <c r="E133" i="4" a="1"/>
  <c r="E133" i="4" s="1"/>
  <c r="E142" i="4" a="1"/>
  <c r="E142" i="4" s="1"/>
  <c r="E151" i="4" a="1"/>
  <c r="E151" i="4" s="1"/>
  <c r="E160" i="4" a="1"/>
  <c r="E160" i="4" s="1"/>
  <c r="E169" i="4" a="1"/>
  <c r="E169" i="4" s="1"/>
  <c r="E178" i="4" a="1"/>
  <c r="E178" i="4" s="1"/>
  <c r="E187" i="4" a="1"/>
  <c r="E187" i="4" s="1"/>
  <c r="E196" i="4" a="1"/>
  <c r="E196" i="4" s="1"/>
  <c r="E205" i="4" a="1"/>
  <c r="E205" i="4" s="1"/>
  <c r="E214" i="4" a="1"/>
  <c r="E214" i="4" s="1"/>
  <c r="E223" i="4" a="1"/>
  <c r="E223" i="4" s="1"/>
  <c r="E148" i="4" a="1"/>
  <c r="E148" i="4" s="1"/>
  <c r="E134" i="4" a="1"/>
  <c r="E134" i="4" s="1"/>
  <c r="E152" i="4" a="1"/>
  <c r="E152" i="4" s="1"/>
  <c r="E170" i="4" a="1"/>
  <c r="E170" i="4" s="1"/>
  <c r="E188" i="4" a="1"/>
  <c r="E188" i="4" s="1"/>
  <c r="E206" i="4" a="1"/>
  <c r="E206" i="4" s="1"/>
  <c r="E224" i="4" a="1"/>
  <c r="E224" i="4" s="1"/>
  <c r="E220" i="4" a="1"/>
  <c r="E220" i="4" s="1"/>
  <c r="E135" i="4" a="1"/>
  <c r="E135" i="4" s="1"/>
  <c r="E143" i="4" a="1"/>
  <c r="E143" i="4" s="1"/>
  <c r="E153" i="4" a="1"/>
  <c r="E153" i="4" s="1"/>
  <c r="E161" i="4" a="1"/>
  <c r="E161" i="4" s="1"/>
  <c r="E171" i="4" a="1"/>
  <c r="E171" i="4" s="1"/>
  <c r="E179" i="4" a="1"/>
  <c r="E179" i="4" s="1"/>
  <c r="E189" i="4" a="1"/>
  <c r="E189" i="4" s="1"/>
  <c r="E197" i="4" a="1"/>
  <c r="E197" i="4" s="1"/>
  <c r="E207" i="4" a="1"/>
  <c r="E207" i="4" s="1"/>
  <c r="E215" i="4" a="1"/>
  <c r="E215" i="4" s="1"/>
  <c r="E225" i="4" a="1"/>
  <c r="E225" i="4" s="1"/>
  <c r="E175" i="4" a="1"/>
  <c r="E175" i="4" s="1"/>
  <c r="E144" i="4" a="1"/>
  <c r="E144" i="4" s="1"/>
  <c r="E162" i="4" a="1"/>
  <c r="E162" i="4" s="1"/>
  <c r="E180" i="4" a="1"/>
  <c r="E180" i="4" s="1"/>
  <c r="E198" i="4" a="1"/>
  <c r="E198" i="4" s="1"/>
  <c r="E216" i="4" a="1"/>
  <c r="E216" i="4" s="1"/>
  <c r="E139" i="4" a="1"/>
  <c r="E139" i="4" s="1"/>
  <c r="E193" i="4" a="1"/>
  <c r="E193" i="4" s="1"/>
  <c r="E136" i="4" a="1"/>
  <c r="E136" i="4" s="1"/>
  <c r="E145" i="4" a="1"/>
  <c r="E145" i="4" s="1"/>
  <c r="E154" i="4" a="1"/>
  <c r="E154" i="4" s="1"/>
  <c r="E163" i="4" a="1"/>
  <c r="E163" i="4" s="1"/>
  <c r="E172" i="4" a="1"/>
  <c r="E172" i="4" s="1"/>
  <c r="E181" i="4" a="1"/>
  <c r="E181" i="4" s="1"/>
  <c r="E190" i="4" a="1"/>
  <c r="E190" i="4" s="1"/>
  <c r="E199" i="4" a="1"/>
  <c r="E199" i="4" s="1"/>
  <c r="E208" i="4" a="1"/>
  <c r="E208" i="4" s="1"/>
  <c r="E217" i="4" a="1"/>
  <c r="E217" i="4" s="1"/>
  <c r="E226" i="4" a="1"/>
  <c r="E226" i="4" s="1"/>
  <c r="E166" i="4" a="1"/>
  <c r="E166" i="4" s="1"/>
  <c r="E202" i="4" a="1"/>
  <c r="E202" i="4" s="1"/>
  <c r="E146" i="4" a="1"/>
  <c r="E146" i="4" s="1"/>
  <c r="E164" i="4" a="1"/>
  <c r="E164" i="4" s="1"/>
  <c r="E182" i="4" a="1"/>
  <c r="E182" i="4" s="1"/>
  <c r="E200" i="4" a="1"/>
  <c r="E200" i="4" s="1"/>
  <c r="E218" i="4" a="1"/>
  <c r="E218" i="4" s="1"/>
  <c r="E184" i="4" a="1"/>
  <c r="E184" i="4" s="1"/>
  <c r="E229" i="4" a="1"/>
  <c r="E229" i="4" s="1"/>
  <c r="E137" i="4" a="1"/>
  <c r="E137" i="4" s="1"/>
  <c r="E147" i="4" a="1"/>
  <c r="E147" i="4" s="1"/>
  <c r="E155" i="4" a="1"/>
  <c r="E155" i="4" s="1"/>
  <c r="E165" i="4" a="1"/>
  <c r="E165" i="4" s="1"/>
  <c r="E173" i="4" a="1"/>
  <c r="E173" i="4" s="1"/>
  <c r="E183" i="4" a="1"/>
  <c r="E183" i="4" s="1"/>
  <c r="E191" i="4" a="1"/>
  <c r="E191" i="4" s="1"/>
  <c r="E201" i="4" a="1"/>
  <c r="E201" i="4" s="1"/>
  <c r="E209" i="4" a="1"/>
  <c r="E209" i="4" s="1"/>
  <c r="E219" i="4" a="1"/>
  <c r="E219" i="4" s="1"/>
  <c r="E227" i="4" a="1"/>
  <c r="E227" i="4" s="1"/>
  <c r="E211" i="4" a="1"/>
  <c r="E211" i="4" s="1"/>
  <c r="E138" i="4" a="1"/>
  <c r="E138" i="4" s="1"/>
  <c r="E156" i="4" a="1"/>
  <c r="E156" i="4" s="1"/>
  <c r="E174" i="4" a="1"/>
  <c r="E174" i="4" s="1"/>
  <c r="E192" i="4" a="1"/>
  <c r="E192" i="4" s="1"/>
  <c r="E210" i="4" a="1"/>
  <c r="E210" i="4" s="1"/>
  <c r="E228" i="4" a="1"/>
  <c r="E228" i="4" s="1"/>
  <c r="I246" i="4"/>
  <c r="I247" i="4"/>
  <c r="I248" i="4"/>
  <c r="I249" i="4"/>
  <c r="I250" i="4"/>
  <c r="I251" i="4"/>
  <c r="I252" i="4"/>
  <c r="I253" i="4"/>
  <c r="I254" i="4"/>
  <c r="I255" i="4"/>
  <c r="I256" i="4"/>
  <c r="I257" i="4"/>
  <c r="I258" i="4"/>
  <c r="I259" i="4"/>
  <c r="I260" i="4"/>
  <c r="I261" i="4"/>
  <c r="I262" i="4"/>
  <c r="I263" i="4"/>
  <c r="I264" i="4"/>
  <c r="I265" i="4"/>
  <c r="I266" i="4"/>
  <c r="I267" i="4"/>
  <c r="I268" i="4"/>
  <c r="I269" i="4"/>
  <c r="I270" i="4"/>
  <c r="E246" i="4"/>
  <c r="E248" i="4"/>
  <c r="E249" i="4"/>
  <c r="E250" i="4"/>
  <c r="E251" i="4"/>
  <c r="E252" i="4"/>
  <c r="E253" i="4"/>
  <c r="E254" i="4"/>
  <c r="E255" i="4"/>
  <c r="E256" i="4"/>
  <c r="E257" i="4"/>
  <c r="E258" i="4"/>
  <c r="E259" i="4"/>
  <c r="E260" i="4"/>
  <c r="E261" i="4"/>
  <c r="E262" i="4"/>
  <c r="E263" i="4"/>
  <c r="E264" i="4"/>
  <c r="E265" i="4"/>
  <c r="E266" i="4"/>
  <c r="E267" i="4"/>
  <c r="E268" i="4"/>
  <c r="E269" i="4"/>
  <c r="E270" i="4"/>
  <c r="D247" i="4"/>
  <c r="D248" i="4"/>
  <c r="D249" i="4"/>
  <c r="D250" i="4"/>
  <c r="D251" i="4"/>
  <c r="D252" i="4"/>
  <c r="D253" i="4"/>
  <c r="D254" i="4"/>
  <c r="D255" i="4"/>
  <c r="D256" i="4"/>
  <c r="D257" i="4"/>
  <c r="D258" i="4"/>
  <c r="D259" i="4"/>
  <c r="D260" i="4"/>
  <c r="D261" i="4"/>
  <c r="D262" i="4"/>
  <c r="D263" i="4"/>
  <c r="D264" i="4"/>
  <c r="D265" i="4"/>
  <c r="D266" i="4"/>
  <c r="D267" i="4"/>
  <c r="D268" i="4"/>
  <c r="D269" i="4"/>
  <c r="D270" i="4"/>
  <c r="E298" i="4" a="1"/>
  <c r="E298" i="4" s="1"/>
  <c r="E299" i="4" a="1"/>
  <c r="E299" i="4" s="1"/>
  <c r="E300" i="4" a="1"/>
  <c r="E300" i="4" s="1"/>
  <c r="E301" i="4" a="1"/>
  <c r="E301" i="4" s="1"/>
  <c r="E302" i="4" a="1"/>
  <c r="E302" i="4" s="1"/>
  <c r="E303" i="4" a="1"/>
  <c r="E303" i="4" s="1"/>
  <c r="E304" i="4" a="1"/>
  <c r="E304" i="4" s="1"/>
  <c r="E305" i="4" a="1"/>
  <c r="E305" i="4" s="1"/>
  <c r="E306" i="4" a="1"/>
  <c r="E306" i="4" s="1"/>
  <c r="I117" i="4" a="1"/>
  <c r="I117" i="4" s="1"/>
  <c r="I118" i="4" a="1"/>
  <c r="I118" i="4" s="1"/>
  <c r="I119" i="4" a="1"/>
  <c r="I119" i="4" s="1"/>
  <c r="I120" i="4" a="1"/>
  <c r="I120" i="4" s="1"/>
  <c r="I121" i="4" a="1"/>
  <c r="I121" i="4" s="1"/>
  <c r="I122" i="4" a="1"/>
  <c r="I122" i="4" s="1"/>
  <c r="I123" i="4" a="1"/>
  <c r="I123" i="4" s="1"/>
  <c r="I124" i="4" a="1"/>
  <c r="I124" i="4" s="1"/>
  <c r="I125" i="4" a="1"/>
  <c r="I125" i="4" s="1"/>
  <c r="I126" i="4" a="1"/>
  <c r="I12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26" i="1" l="1"/>
  <c r="H27" i="1"/>
  <c r="H28" i="1"/>
  <c r="H30" i="1"/>
  <c r="H31" i="1"/>
  <c r="H32" i="1"/>
  <c r="H33" i="1"/>
  <c r="F117" i="4"/>
  <c r="F118" i="4"/>
  <c r="F119" i="4"/>
  <c r="F120" i="4"/>
  <c r="F121" i="4"/>
  <c r="F122" i="4"/>
  <c r="F123" i="4"/>
  <c r="F124" i="4"/>
  <c r="F125" i="4"/>
  <c r="F126" i="4"/>
  <c r="E117" i="4"/>
  <c r="B44" i="4"/>
  <c r="R117" i="4"/>
  <c r="R118" i="4"/>
  <c r="R119" i="4"/>
  <c r="R120" i="4"/>
  <c r="R121" i="4"/>
  <c r="R122" i="4"/>
  <c r="R123" i="4"/>
  <c r="R124" i="4"/>
  <c r="R125" i="4"/>
  <c r="R126" i="4"/>
  <c r="Q117" i="4"/>
  <c r="Q118" i="4"/>
  <c r="Q119" i="4"/>
  <c r="Q120" i="4"/>
  <c r="Q121" i="4"/>
  <c r="Q122" i="4"/>
  <c r="Q123" i="4"/>
  <c r="Q124" i="4"/>
  <c r="Q125" i="4"/>
  <c r="Q126" i="4"/>
  <c r="B45" i="4"/>
  <c r="B46" i="4"/>
  <c r="N11" i="4"/>
  <c r="B34" i="4"/>
  <c r="B69" i="4"/>
  <c r="B68" i="4"/>
  <c r="B66" i="4"/>
  <c r="B65" i="4"/>
  <c r="B64" i="4"/>
  <c r="G117" i="4" a="1"/>
  <c r="G117" i="4" s="1"/>
  <c r="G118" i="4" a="1"/>
  <c r="G118" i="4" s="1"/>
  <c r="G119" i="4" a="1"/>
  <c r="G119" i="4" s="1"/>
  <c r="G120" i="4" a="1"/>
  <c r="G120" i="4" s="1"/>
  <c r="G121" i="4" a="1"/>
  <c r="G121" i="4" s="1"/>
  <c r="G122" i="4" a="1"/>
  <c r="G122" i="4" s="1"/>
  <c r="G123" i="4" a="1"/>
  <c r="G123" i="4" s="1"/>
  <c r="G124" i="4" a="1"/>
  <c r="G124" i="4" s="1"/>
  <c r="G125" i="4" a="1"/>
  <c r="G125" i="4" s="1"/>
  <c r="G126" i="4" a="1"/>
  <c r="G126" i="4" s="1"/>
  <c r="T117" i="4"/>
  <c r="T118" i="4"/>
  <c r="T119" i="4"/>
  <c r="T120" i="4"/>
  <c r="T121" i="4"/>
  <c r="T122" i="4"/>
  <c r="T123" i="4"/>
  <c r="T124" i="4"/>
  <c r="T125" i="4"/>
  <c r="T126" i="4"/>
  <c r="S122" i="4"/>
  <c r="S117" i="4"/>
  <c r="S118" i="4"/>
  <c r="S119" i="4"/>
  <c r="S120" i="4"/>
  <c r="S121" i="4"/>
  <c r="S123" i="4"/>
  <c r="S124" i="4"/>
  <c r="S125" i="4"/>
  <c r="S126" i="4"/>
  <c r="B38" i="4"/>
  <c r="O117" i="4" s="1"/>
  <c r="D12" i="4" l="1"/>
  <c r="C11" i="4"/>
  <c r="E11" i="4" s="1"/>
  <c r="D11" i="4"/>
  <c r="B39" i="4"/>
  <c r="P122" i="4" s="1"/>
  <c r="P117" i="4"/>
  <c r="P118" i="4"/>
  <c r="P119" i="4"/>
  <c r="P120" i="4"/>
  <c r="P121" i="4"/>
  <c r="P123" i="4"/>
  <c r="P124" i="4"/>
  <c r="P125" i="4"/>
  <c r="P126" i="4"/>
  <c r="O118" i="4"/>
  <c r="O119" i="4"/>
  <c r="O120" i="4"/>
  <c r="O121" i="4"/>
  <c r="O122" i="4"/>
  <c r="O123" i="4"/>
  <c r="O124" i="4"/>
  <c r="O125" i="4"/>
  <c r="O126" i="4"/>
  <c r="C12" i="4" l="1"/>
  <c r="E12" i="4" s="1"/>
  <c r="F12" i="4" s="1"/>
  <c r="F11" i="4"/>
  <c r="B54" i="4"/>
  <c r="B53" i="4"/>
  <c r="C13" i="4" l="1"/>
  <c r="E13" i="4" s="1"/>
  <c r="D13" i="4"/>
  <c r="G134" i="4"/>
  <c r="G137" i="4"/>
  <c r="H275" i="4"/>
  <c r="H134" i="4"/>
  <c r="H137" i="4"/>
  <c r="D275" i="4"/>
  <c r="F297" i="4"/>
  <c r="F298" i="4"/>
  <c r="F299" i="4"/>
  <c r="F300" i="4"/>
  <c r="F301" i="4"/>
  <c r="F302" i="4"/>
  <c r="F303" i="4"/>
  <c r="F304" i="4"/>
  <c r="F305" i="4"/>
  <c r="F306" i="4"/>
  <c r="B95" i="4"/>
  <c r="B93" i="4"/>
  <c r="B96" i="4"/>
  <c r="E297" i="4" s="1" a="1"/>
  <c r="E297" i="4" s="1"/>
  <c r="F13" i="4" l="1"/>
  <c r="E15" i="4"/>
  <c r="C14" i="4"/>
  <c r="E14" i="4" s="1"/>
  <c r="D14" i="4"/>
  <c r="C297" i="4"/>
  <c r="C298" i="4"/>
  <c r="C300" i="4"/>
  <c r="C301" i="4"/>
  <c r="C302" i="4"/>
  <c r="C303" i="4"/>
  <c r="C305" i="4"/>
  <c r="F14" i="4" l="1"/>
  <c r="E16" i="4"/>
  <c r="C15" i="4"/>
  <c r="D15" i="4"/>
  <c r="F15" i="4"/>
  <c r="E17" i="4" l="1"/>
  <c r="D16" i="4"/>
  <c r="C16" i="4"/>
  <c r="F16" i="4"/>
  <c r="B36" i="4"/>
  <c r="E18" i="4" l="1"/>
  <c r="F17" i="4"/>
  <c r="C17" i="4"/>
  <c r="D17" i="4"/>
  <c r="C247" i="4"/>
  <c r="C133" i="4"/>
  <c r="C275" i="4"/>
  <c r="C304" i="4"/>
  <c r="C306" i="4"/>
  <c r="C299" i="4"/>
  <c r="E118" i="4"/>
  <c r="E119" i="4"/>
  <c r="E120" i="4"/>
  <c r="E121" i="4"/>
  <c r="E122" i="4"/>
  <c r="E123" i="4"/>
  <c r="E124" i="4"/>
  <c r="E125" i="4"/>
  <c r="E126" i="4"/>
  <c r="D117" i="4"/>
  <c r="D118" i="4"/>
  <c r="D119" i="4"/>
  <c r="D120" i="4"/>
  <c r="D121" i="4"/>
  <c r="D122" i="4"/>
  <c r="D123" i="4"/>
  <c r="D124" i="4"/>
  <c r="D125" i="4"/>
  <c r="D126" i="4"/>
  <c r="E19" i="4" l="1"/>
  <c r="F18" i="4"/>
  <c r="D18" i="4"/>
  <c r="C18" i="4"/>
  <c r="B83" i="4"/>
  <c r="AA117" i="4"/>
  <c r="AA118" i="4"/>
  <c r="AA119" i="4"/>
  <c r="AA120" i="4"/>
  <c r="AA121" i="4"/>
  <c r="AA122" i="4"/>
  <c r="AA123" i="4"/>
  <c r="AA124" i="4"/>
  <c r="AA125" i="4"/>
  <c r="AA126" i="4"/>
  <c r="E20" i="4" l="1"/>
  <c r="C21" i="4" s="1"/>
  <c r="D19" i="4"/>
  <c r="C19" i="4"/>
  <c r="F19" i="4"/>
  <c r="B63" i="4"/>
  <c r="C20" i="4" l="1"/>
  <c r="F20" i="4"/>
  <c r="H11" i="4" s="1" a="1"/>
  <c r="H11" i="4" s="1"/>
  <c r="H12" i="4" s="1" a="1"/>
  <c r="H12" i="4" s="1"/>
  <c r="H13" i="4" s="1" a="1"/>
  <c r="H13" i="4" s="1"/>
  <c r="H14" i="4" s="1" a="1"/>
  <c r="H14" i="4" s="1"/>
  <c r="H15" i="4" s="1" a="1"/>
  <c r="H15" i="4" s="1"/>
  <c r="H16" i="4" s="1" a="1"/>
  <c r="H16" i="4" s="1"/>
  <c r="H17" i="4" s="1" a="1"/>
  <c r="H17" i="4" s="1"/>
  <c r="H18" i="4" s="1" a="1"/>
  <c r="H18" i="4" s="1"/>
  <c r="H19" i="4" s="1" a="1"/>
  <c r="H19" i="4" s="1"/>
  <c r="H20" i="4" s="1" a="1"/>
  <c r="H20" i="4" s="1"/>
  <c r="D20" i="4"/>
  <c r="B95" i="3"/>
  <c r="A95" i="3"/>
  <c r="B100" i="4" l="1"/>
  <c r="B91" i="4" l="1"/>
  <c r="B99" i="4"/>
  <c r="B92" i="4"/>
  <c r="B60" i="4" l="1"/>
  <c r="P12" i="4" l="1"/>
  <c r="P13" i="4"/>
  <c r="P14" i="4"/>
  <c r="P15" i="4"/>
  <c r="P16" i="4"/>
  <c r="P17" i="4"/>
  <c r="P18" i="4"/>
  <c r="P19" i="4"/>
  <c r="P20" i="4"/>
  <c r="Q12" i="4"/>
  <c r="Q13" i="4"/>
  <c r="Q14" i="4"/>
  <c r="Q15" i="4"/>
  <c r="Q16" i="4"/>
  <c r="Q17" i="4"/>
  <c r="Q18" i="4"/>
  <c r="Q19" i="4"/>
  <c r="Q20" i="4"/>
  <c r="Q11" i="4"/>
  <c r="Q21" i="4" l="1"/>
  <c r="H133" i="1"/>
  <c r="H134" i="1"/>
  <c r="H135" i="1"/>
  <c r="H136" i="1"/>
  <c r="H137" i="1"/>
  <c r="H138" i="1"/>
  <c r="H139" i="1"/>
  <c r="H140" i="1"/>
  <c r="H141" i="1"/>
  <c r="H132" i="1"/>
  <c r="P11" i="4" s="1"/>
  <c r="P21" i="4" s="1"/>
  <c r="D303" i="4" l="1"/>
  <c r="D302" i="4"/>
  <c r="D297" i="4"/>
  <c r="D301" i="4"/>
  <c r="D305" i="4"/>
  <c r="D300" i="4"/>
  <c r="D306" i="4"/>
  <c r="D298" i="4"/>
  <c r="D304" i="4"/>
  <c r="D299" i="4"/>
  <c r="H142" i="1"/>
  <c r="H11" i="1" l="1" a="1"/>
  <c r="H11" i="1" s="1"/>
  <c r="B304" i="4" a="1"/>
  <c r="B304" i="4" s="1"/>
  <c r="I139" i="1" s="1"/>
  <c r="B300" i="4" a="1"/>
  <c r="B300" i="4" s="1"/>
  <c r="I135" i="1" s="1"/>
  <c r="B297" i="4" a="1"/>
  <c r="B297" i="4" s="1"/>
  <c r="I132" i="1" s="1"/>
  <c r="B305" i="4" a="1"/>
  <c r="B305" i="4" s="1"/>
  <c r="I140" i="1" s="1"/>
  <c r="B301" i="4" a="1"/>
  <c r="B301" i="4" s="1"/>
  <c r="I136" i="1" s="1"/>
  <c r="B302" i="4" a="1"/>
  <c r="B302" i="4" s="1"/>
  <c r="I137" i="1" s="1"/>
  <c r="B303" i="4" a="1"/>
  <c r="B303" i="4" s="1"/>
  <c r="I138" i="1" s="1"/>
  <c r="B306" i="4" a="1"/>
  <c r="B306" i="4" s="1"/>
  <c r="I141" i="1" s="1"/>
  <c r="B298" i="4" a="1"/>
  <c r="B298" i="4" s="1"/>
  <c r="I133" i="1" s="1"/>
  <c r="B299" i="4" a="1"/>
  <c r="B299" i="4" s="1"/>
  <c r="I134" i="1" s="1"/>
  <c r="E38" i="1"/>
  <c r="E39" i="1"/>
  <c r="E40" i="1"/>
  <c r="E41" i="1"/>
  <c r="E42" i="1"/>
  <c r="E43" i="1"/>
  <c r="E44" i="1"/>
  <c r="E45" i="1"/>
  <c r="E46" i="1"/>
  <c r="E47" i="1"/>
  <c r="H97" i="1" l="1"/>
  <c r="H98" i="1" s="1" a="1"/>
  <c r="H98" i="1" s="1"/>
  <c r="C82" i="4" l="1"/>
  <c r="C81" i="4"/>
  <c r="B82" i="4"/>
  <c r="B81" i="4"/>
  <c r="B84" i="4"/>
  <c r="Z118" i="4" l="1"/>
  <c r="Z119" i="4"/>
  <c r="Z120" i="4"/>
  <c r="Z121" i="4"/>
  <c r="Z123" i="4"/>
  <c r="Z124" i="4"/>
  <c r="Z125" i="4"/>
  <c r="Z126" i="4"/>
  <c r="B101" i="4"/>
  <c r="U117" i="4"/>
  <c r="U118" i="4"/>
  <c r="U119" i="4"/>
  <c r="U120" i="4"/>
  <c r="U121" i="4"/>
  <c r="U122" i="4"/>
  <c r="U123" i="4"/>
  <c r="U124" i="4"/>
  <c r="U125" i="4"/>
  <c r="U126" i="4"/>
  <c r="B42" i="4"/>
  <c r="B47" i="4"/>
  <c r="B50" i="4"/>
  <c r="B7" i="5" l="1"/>
  <c r="B6" i="5"/>
  <c r="B5" i="5"/>
  <c r="B4" i="5"/>
  <c r="B3" i="5"/>
  <c r="B2" i="5"/>
  <c r="B97" i="4" l="1"/>
  <c r="R11" i="4" l="1"/>
  <c r="R13" i="4"/>
  <c r="R16" i="4"/>
  <c r="R18" i="4"/>
  <c r="R17" i="4" l="1"/>
  <c r="R20" i="4"/>
  <c r="R19" i="4"/>
  <c r="R15" i="4"/>
  <c r="B33" i="4" l="1"/>
  <c r="R14" i="4" l="1"/>
  <c r="R12" i="4" l="1"/>
  <c r="B23" i="5"/>
  <c r="Q22" i="4" l="1"/>
  <c r="C127" i="3" l="1"/>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H24" i="1" l="1"/>
  <c r="H25" i="1"/>
  <c r="B24" i="5"/>
  <c r="D24" i="5"/>
  <c r="AB117" i="4" l="1"/>
  <c r="J117" i="4" a="1"/>
  <c r="J117" i="4" s="1"/>
  <c r="J122" i="4" a="1"/>
  <c r="J122" i="4" s="1"/>
  <c r="K122" i="4" a="1"/>
  <c r="K122" i="4" s="1"/>
  <c r="J123" i="4" a="1"/>
  <c r="J123" i="4" s="1"/>
  <c r="K123" i="4" a="1"/>
  <c r="K123" i="4" s="1"/>
  <c r="J124" i="4" a="1"/>
  <c r="J124" i="4" s="1"/>
  <c r="K124" i="4" a="1"/>
  <c r="K124" i="4" s="1"/>
  <c r="J125" i="4" a="1"/>
  <c r="J125" i="4" s="1"/>
  <c r="K125" i="4" a="1"/>
  <c r="K125" i="4" s="1"/>
  <c r="J126" i="4" a="1"/>
  <c r="J126" i="4" s="1"/>
  <c r="K126" i="4" a="1"/>
  <c r="K126" i="4" s="1"/>
  <c r="K117" i="4" a="1"/>
  <c r="K117" i="4" s="1"/>
  <c r="K118" i="4" a="1"/>
  <c r="K118" i="4" s="1"/>
  <c r="J121" i="4" a="1"/>
  <c r="J121" i="4" s="1"/>
  <c r="K119" i="4" a="1"/>
  <c r="K119" i="4" s="1"/>
  <c r="K120" i="4" a="1"/>
  <c r="K120" i="4" s="1"/>
  <c r="K121" i="4" a="1"/>
  <c r="K121" i="4" s="1"/>
  <c r="J118" i="4" a="1"/>
  <c r="J118" i="4" s="1"/>
  <c r="J119" i="4" a="1"/>
  <c r="J119" i="4" s="1"/>
  <c r="J120" i="4" a="1"/>
  <c r="J120" i="4" s="1"/>
  <c r="AC117" i="4"/>
  <c r="B17" i="5" l="1"/>
  <c r="AC118" i="4" l="1"/>
  <c r="AB125" i="4" l="1"/>
  <c r="AC125" i="4"/>
  <c r="AB124" i="4"/>
  <c r="AC124" i="4"/>
  <c r="AB121" i="4"/>
  <c r="AC121" i="4"/>
  <c r="AB120" i="4"/>
  <c r="AC120" i="4"/>
  <c r="AB119" i="4"/>
  <c r="AC119" i="4"/>
  <c r="AB126" i="4"/>
  <c r="AC126" i="4"/>
  <c r="AB122" i="4"/>
  <c r="AC122" i="4"/>
  <c r="AB123" i="4"/>
  <c r="AC123" i="4"/>
  <c r="AB118" i="4"/>
  <c r="H34" i="1"/>
  <c r="H155" i="1" l="1"/>
  <c r="H12" i="1" l="1" a="1"/>
  <c r="H12" i="1" s="1"/>
  <c r="H156" i="1" a="1"/>
  <c r="H156" i="1" s="1"/>
  <c r="C25" i="5"/>
  <c r="B25" i="5"/>
  <c r="D25" i="5" l="1"/>
  <c r="A530" i="3" l="1"/>
  <c r="C530" i="3" s="1"/>
  <c r="A529" i="3"/>
  <c r="C529" i="3" s="1"/>
  <c r="A526" i="3"/>
  <c r="C526" i="3" s="1"/>
  <c r="A524" i="3"/>
  <c r="C524" i="3" s="1"/>
  <c r="A527" i="3"/>
  <c r="C527" i="3" s="1"/>
  <c r="A525" i="3"/>
  <c r="C525" i="3" s="1"/>
  <c r="A531" i="3"/>
  <c r="C531" i="3" s="1"/>
  <c r="A532" i="3"/>
  <c r="C532" i="3" s="1"/>
  <c r="A528" i="3"/>
  <c r="C528" i="3" s="1"/>
  <c r="B27" i="5" l="1" a="1"/>
  <c r="B27" i="5" s="1"/>
  <c r="B26" i="5"/>
  <c r="C26" i="5"/>
  <c r="D26" i="5" l="1"/>
  <c r="C27" i="5"/>
  <c r="H14" i="1"/>
  <c r="D28" i="5" l="1"/>
  <c r="D27" i="5"/>
  <c r="B15" i="5" l="1"/>
  <c r="B35" i="4" l="1"/>
  <c r="I36" i="1" l="1"/>
  <c r="I37" i="1" l="1"/>
  <c r="J11" i="4" l="1"/>
  <c r="B38" i="1" s="1"/>
  <c r="L11" i="4"/>
  <c r="F38" i="1" s="1"/>
  <c r="I11" i="4"/>
  <c r="A38" i="1" s="1"/>
  <c r="M11" i="4"/>
  <c r="G38" i="1" s="1"/>
  <c r="K11" i="4"/>
  <c r="C38" i="1" s="1"/>
  <c r="I35" i="1"/>
  <c r="K12" i="4"/>
  <c r="C39" i="1" s="1"/>
  <c r="M12" i="4"/>
  <c r="G39" i="1" s="1"/>
  <c r="J12" i="4"/>
  <c r="B39" i="1" s="1"/>
  <c r="I12" i="4"/>
  <c r="A39" i="1" s="1"/>
  <c r="H39" i="1" s="1"/>
  <c r="L12" i="4"/>
  <c r="F39" i="1" s="1"/>
  <c r="I38" i="1" l="1"/>
  <c r="H38" i="1"/>
  <c r="I39" i="1"/>
  <c r="K13" i="4"/>
  <c r="C40" i="1" s="1"/>
  <c r="I13" i="4"/>
  <c r="A40" i="1" s="1"/>
  <c r="H40" i="1" s="1"/>
  <c r="L13" i="4"/>
  <c r="F40" i="1" s="1"/>
  <c r="M13" i="4"/>
  <c r="G40" i="1" s="1"/>
  <c r="J13" i="4"/>
  <c r="B40" i="1" s="1"/>
  <c r="I40" i="1" l="1"/>
  <c r="M14" i="4"/>
  <c r="G41" i="1" s="1"/>
  <c r="L14" i="4"/>
  <c r="F41" i="1" s="1"/>
  <c r="I14" i="4"/>
  <c r="A41" i="1" s="1"/>
  <c r="H41" i="1" s="1"/>
  <c r="K14" i="4"/>
  <c r="C41" i="1" s="1"/>
  <c r="J14" i="4"/>
  <c r="B41" i="1" s="1"/>
  <c r="I41" i="1" l="1"/>
  <c r="I15" i="4"/>
  <c r="A42" i="1" s="1"/>
  <c r="H42" i="1" s="1"/>
  <c r="M15" i="4"/>
  <c r="G42" i="1" s="1"/>
  <c r="K15" i="4"/>
  <c r="C42" i="1" s="1"/>
  <c r="J15" i="4"/>
  <c r="B42" i="1" s="1"/>
  <c r="L15" i="4"/>
  <c r="F42" i="1" s="1"/>
  <c r="I42" i="1" l="1"/>
  <c r="L16" i="4"/>
  <c r="F43" i="1" s="1"/>
  <c r="M16" i="4"/>
  <c r="G43" i="1" s="1"/>
  <c r="I16" i="4"/>
  <c r="A43" i="1" s="1"/>
  <c r="H43" i="1" s="1"/>
  <c r="J16" i="4"/>
  <c r="B43" i="1" s="1"/>
  <c r="K16" i="4"/>
  <c r="C43" i="1" s="1"/>
  <c r="I43" i="1" l="1"/>
  <c r="K17" i="4"/>
  <c r="C44" i="1" s="1"/>
  <c r="M17" i="4"/>
  <c r="G44" i="1" s="1"/>
  <c r="L17" i="4"/>
  <c r="F44" i="1" s="1"/>
  <c r="I17" i="4"/>
  <c r="A44" i="1" s="1"/>
  <c r="H44" i="1" s="1"/>
  <c r="J17" i="4"/>
  <c r="B44" i="1" s="1"/>
  <c r="I44" i="1" l="1"/>
  <c r="J18" i="4"/>
  <c r="B45" i="1" s="1"/>
  <c r="L18" i="4"/>
  <c r="F45" i="1" s="1"/>
  <c r="I18" i="4"/>
  <c r="A45" i="1" s="1"/>
  <c r="H45" i="1" s="1"/>
  <c r="M18" i="4"/>
  <c r="G45" i="1" s="1"/>
  <c r="K18" i="4"/>
  <c r="C45" i="1" s="1"/>
  <c r="I45" i="1" l="1"/>
  <c r="I19" i="4"/>
  <c r="A46" i="1" s="1"/>
  <c r="H46" i="1" s="1"/>
  <c r="L19" i="4"/>
  <c r="F46" i="1" s="1"/>
  <c r="J19" i="4"/>
  <c r="B46" i="1" s="1"/>
  <c r="K19" i="4"/>
  <c r="C46" i="1" s="1"/>
  <c r="M19" i="4"/>
  <c r="G46" i="1" s="1"/>
  <c r="I46" i="1" l="1"/>
  <c r="L20" i="4"/>
  <c r="F47" i="1" s="1"/>
  <c r="I20" i="4"/>
  <c r="A47" i="1" s="1"/>
  <c r="H47" i="1" s="1"/>
  <c r="M20" i="4"/>
  <c r="G47" i="1" s="1"/>
  <c r="K20" i="4"/>
  <c r="C47" i="1" s="1"/>
  <c r="J20" i="4"/>
  <c r="B47" i="1" s="1"/>
  <c r="I47" i="1" l="1"/>
  <c r="Z117" i="4" l="1"/>
  <c r="E278" i="4" l="1"/>
  <c r="E280" i="4"/>
  <c r="E284" i="4"/>
  <c r="E287" i="4"/>
  <c r="E285" i="4"/>
  <c r="E279" i="4"/>
  <c r="E289" i="4"/>
  <c r="E276" i="4"/>
  <c r="E283" i="4"/>
  <c r="E275" i="4"/>
  <c r="E277" i="4"/>
  <c r="E288" i="4"/>
  <c r="E282" i="4"/>
  <c r="E286" i="4"/>
  <c r="E281" i="4"/>
  <c r="B16" i="5"/>
  <c r="F264" i="4" l="1" a="1"/>
  <c r="F264" i="4" s="1"/>
  <c r="F253" i="4" a="1"/>
  <c r="F253" i="4" s="1"/>
  <c r="F246" i="4" a="1"/>
  <c r="F246" i="4" s="1"/>
  <c r="F263" i="4" a="1"/>
  <c r="F263" i="4" s="1"/>
  <c r="F250" i="4" a="1"/>
  <c r="F250" i="4" s="1"/>
  <c r="F270" i="4" a="1"/>
  <c r="F270" i="4" s="1"/>
  <c r="F256" i="4" a="1"/>
  <c r="F256" i="4" s="1"/>
  <c r="F265" i="4" a="1"/>
  <c r="F265" i="4" s="1"/>
  <c r="F259" i="4" a="1"/>
  <c r="F259" i="4" s="1"/>
  <c r="F258" i="4" a="1"/>
  <c r="F258" i="4" s="1"/>
  <c r="F248" i="4" a="1"/>
  <c r="F248" i="4" s="1"/>
  <c r="F249" i="4" a="1"/>
  <c r="F249" i="4" s="1"/>
  <c r="F260" i="4" a="1"/>
  <c r="F260" i="4" s="1"/>
  <c r="F254" i="4" a="1"/>
  <c r="F254" i="4" s="1"/>
  <c r="F257" i="4" a="1"/>
  <c r="F257" i="4" s="1"/>
  <c r="F268" i="4" a="1"/>
  <c r="F268" i="4" s="1"/>
  <c r="F261" i="4" a="1"/>
  <c r="F261" i="4" s="1"/>
  <c r="F262" i="4" a="1"/>
  <c r="F262" i="4" s="1"/>
  <c r="F269" i="4" a="1"/>
  <c r="F269" i="4" s="1"/>
  <c r="F267" i="4" a="1"/>
  <c r="F267" i="4" s="1"/>
  <c r="F255" i="4" a="1"/>
  <c r="F255" i="4" s="1"/>
  <c r="F251" i="4" a="1"/>
  <c r="F251" i="4" s="1"/>
  <c r="F252" i="4" a="1"/>
  <c r="F252" i="4" s="1"/>
  <c r="F266" i="4" a="1"/>
  <c r="F266" i="4" s="1"/>
  <c r="F247" i="4" a="1"/>
  <c r="F247" i="4" s="1"/>
  <c r="H262" i="4"/>
  <c r="H249" i="4"/>
  <c r="H270" i="4"/>
  <c r="H260" i="4"/>
  <c r="H251" i="4"/>
  <c r="H269" i="4"/>
  <c r="H259" i="4"/>
  <c r="H256" i="4"/>
  <c r="H246" i="4"/>
  <c r="H258" i="4"/>
  <c r="H247" i="4"/>
  <c r="H252" i="4"/>
  <c r="H257" i="4"/>
  <c r="H264" i="4"/>
  <c r="H266" i="4"/>
  <c r="H268" i="4"/>
  <c r="H263" i="4"/>
  <c r="H255" i="4"/>
  <c r="H253" i="4"/>
  <c r="H250" i="4"/>
  <c r="H267" i="4"/>
  <c r="H254" i="4"/>
  <c r="H261" i="4"/>
  <c r="H248" i="4"/>
  <c r="B14" i="5"/>
  <c r="H265" i="4"/>
  <c r="H48" i="1" l="1"/>
  <c r="G34" i="5"/>
  <c r="H49" i="1" l="1" a="1"/>
  <c r="H49" i="1" s="1"/>
  <c r="H9" i="1" s="1" a="1"/>
  <c r="H9" i="1" s="1"/>
  <c r="I78" i="1" s="1" a="1"/>
  <c r="I78" i="1" s="1"/>
  <c r="B12" i="5"/>
  <c r="H8" i="1" l="1" a="1"/>
  <c r="H8" i="1" s="1"/>
  <c r="B11" i="5"/>
  <c r="G260" i="4" a="1"/>
  <c r="G260" i="4" s="1"/>
  <c r="B260" i="4" s="1" a="1"/>
  <c r="B260" i="4" s="1"/>
  <c r="I67" i="1" s="1"/>
  <c r="G247" i="4" a="1"/>
  <c r="G247" i="4" s="1"/>
  <c r="B247" i="4" s="1" a="1"/>
  <c r="B247" i="4" s="1"/>
  <c r="I54" i="1" s="1"/>
  <c r="G254" i="4" a="1"/>
  <c r="G254" i="4" s="1"/>
  <c r="B254" i="4" s="1" a="1"/>
  <c r="B254" i="4" s="1"/>
  <c r="I61" i="1" s="1"/>
  <c r="B18" i="5" a="1"/>
  <c r="B18" i="5" s="1"/>
  <c r="B30" i="5" s="1"/>
  <c r="G263" i="4" a="1"/>
  <c r="G263" i="4" s="1"/>
  <c r="B263" i="4" s="1" a="1"/>
  <c r="B263" i="4" s="1"/>
  <c r="I70" i="1" s="1"/>
  <c r="G251" i="4" a="1"/>
  <c r="G251" i="4" s="1"/>
  <c r="B251" i="4" s="1" a="1"/>
  <c r="B251" i="4" s="1"/>
  <c r="I58" i="1" s="1"/>
  <c r="G268" i="4" a="1"/>
  <c r="G268" i="4" s="1"/>
  <c r="B268" i="4" s="1" a="1"/>
  <c r="B268" i="4" s="1"/>
  <c r="I75" i="1" s="1"/>
  <c r="G256" i="4" a="1"/>
  <c r="G256" i="4" s="1"/>
  <c r="B256" i="4" s="1" a="1"/>
  <c r="B256" i="4" s="1"/>
  <c r="I63" i="1" s="1"/>
  <c r="G249" i="4" a="1"/>
  <c r="G249" i="4" s="1"/>
  <c r="B249" i="4" s="1" a="1"/>
  <c r="B249" i="4" s="1"/>
  <c r="I56" i="1" s="1"/>
  <c r="G258" i="4" a="1"/>
  <c r="G258" i="4" s="1"/>
  <c r="B258" i="4" s="1" a="1"/>
  <c r="B258" i="4" s="1"/>
  <c r="I65" i="1" s="1"/>
  <c r="G257" i="4" a="1"/>
  <c r="G257" i="4" s="1"/>
  <c r="B257" i="4" s="1" a="1"/>
  <c r="B257" i="4" s="1"/>
  <c r="I64" i="1" s="1"/>
  <c r="G270" i="4" a="1"/>
  <c r="G270" i="4" s="1"/>
  <c r="B270" i="4" s="1" a="1"/>
  <c r="B270" i="4" s="1"/>
  <c r="I77" i="1" s="1"/>
  <c r="G264" i="4" a="1"/>
  <c r="G264" i="4" s="1"/>
  <c r="B264" i="4" s="1" a="1"/>
  <c r="B264" i="4" s="1"/>
  <c r="I71" i="1" s="1"/>
  <c r="G255" i="4" a="1"/>
  <c r="G255" i="4" s="1"/>
  <c r="B255" i="4" s="1" a="1"/>
  <c r="B255" i="4" s="1"/>
  <c r="I62" i="1" s="1"/>
  <c r="G269" i="4" a="1"/>
  <c r="G269" i="4" s="1"/>
  <c r="B269" i="4" s="1" a="1"/>
  <c r="B269" i="4" s="1"/>
  <c r="I76" i="1" s="1"/>
  <c r="G266" i="4" a="1"/>
  <c r="G266" i="4" s="1"/>
  <c r="B266" i="4" s="1" a="1"/>
  <c r="B266" i="4" s="1"/>
  <c r="I73" i="1" s="1"/>
  <c r="G265" i="4" a="1"/>
  <c r="G265" i="4" s="1"/>
  <c r="B265" i="4" s="1" a="1"/>
  <c r="B265" i="4" s="1"/>
  <c r="I72" i="1" s="1"/>
  <c r="G250" i="4" a="1"/>
  <c r="G250" i="4" s="1"/>
  <c r="B250" i="4" s="1" a="1"/>
  <c r="B250" i="4" s="1"/>
  <c r="I57" i="1" s="1"/>
  <c r="G253" i="4" a="1"/>
  <c r="G253" i="4" s="1"/>
  <c r="B253" i="4" s="1" a="1"/>
  <c r="B253" i="4" s="1"/>
  <c r="I60" i="1" s="1"/>
  <c r="G252" i="4" a="1"/>
  <c r="G252" i="4" s="1"/>
  <c r="B252" i="4" s="1" a="1"/>
  <c r="B252" i="4" s="1"/>
  <c r="I59" i="1" s="1"/>
  <c r="G267" i="4" a="1"/>
  <c r="G267" i="4" s="1"/>
  <c r="B267" i="4" s="1" a="1"/>
  <c r="B267" i="4" s="1"/>
  <c r="I74" i="1" s="1"/>
  <c r="G246" i="4" a="1"/>
  <c r="G246" i="4" s="1"/>
  <c r="B246" i="4" s="1" a="1"/>
  <c r="B246" i="4" s="1"/>
  <c r="I53" i="1" s="1"/>
  <c r="G259" i="4" a="1"/>
  <c r="G259" i="4" s="1"/>
  <c r="B259" i="4" s="1" a="1"/>
  <c r="B259" i="4" s="1"/>
  <c r="I66" i="1" s="1"/>
  <c r="G262" i="4" a="1"/>
  <c r="G262" i="4" s="1"/>
  <c r="B262" i="4" s="1" a="1"/>
  <c r="B262" i="4" s="1"/>
  <c r="I69" i="1" s="1"/>
  <c r="G261" i="4" a="1"/>
  <c r="G261" i="4" s="1"/>
  <c r="B261" i="4" s="1" a="1"/>
  <c r="B261" i="4" s="1"/>
  <c r="I68" i="1" s="1"/>
  <c r="G248" i="4" a="1"/>
  <c r="G248" i="4" s="1"/>
  <c r="B248" i="4" s="1" a="1"/>
  <c r="B248" i="4" s="1"/>
  <c r="I55" i="1" s="1"/>
  <c r="Z122" i="4" l="1"/>
  <c r="M117" i="4" a="1"/>
  <c r="M117" i="4" s="1"/>
  <c r="M123" i="4" a="1"/>
  <c r="M123" i="4" s="1"/>
  <c r="M124" i="4" a="1"/>
  <c r="M124" i="4" s="1"/>
  <c r="M118" i="4" a="1"/>
  <c r="M118" i="4" s="1"/>
  <c r="M125" i="4" a="1"/>
  <c r="M125" i="4" s="1"/>
  <c r="M119" i="4" a="1"/>
  <c r="M119" i="4" s="1"/>
  <c r="M126" i="4" a="1"/>
  <c r="M126" i="4" s="1"/>
  <c r="M120" i="4" a="1"/>
  <c r="M120" i="4" s="1"/>
  <c r="M121" i="4" a="1"/>
  <c r="M121" i="4" s="1"/>
  <c r="M122" i="4" a="1"/>
  <c r="M122" i="4" s="1"/>
  <c r="G289" i="4" a="1"/>
  <c r="G289" i="4" s="1"/>
  <c r="F166" i="4" a="1"/>
  <c r="F166" i="4" s="1"/>
  <c r="B166" i="4" s="1" a="1"/>
  <c r="B166" i="4" s="1"/>
  <c r="F275" i="4" a="1"/>
  <c r="F275" i="4" s="1"/>
  <c r="F217" i="4" a="1"/>
  <c r="F217" i="4" s="1"/>
  <c r="B217" i="4" s="1" a="1"/>
  <c r="B217" i="4" s="1"/>
  <c r="F203" i="4" a="1"/>
  <c r="F203" i="4" s="1"/>
  <c r="B203" i="4" s="1" a="1"/>
  <c r="B203" i="4" s="1"/>
  <c r="F172" i="4" a="1"/>
  <c r="F172" i="4" s="1"/>
  <c r="B172" i="4" s="1" a="1"/>
  <c r="B172" i="4" s="1"/>
  <c r="F159" i="4" a="1"/>
  <c r="F159" i="4" s="1"/>
  <c r="B159" i="4" s="1" a="1"/>
  <c r="B159" i="4" s="1"/>
  <c r="L120" i="4" a="1"/>
  <c r="L120" i="4" s="1"/>
  <c r="G279" i="4" a="1"/>
  <c r="G279" i="4" s="1"/>
  <c r="F170" i="4" a="1"/>
  <c r="F170" i="4" s="1"/>
  <c r="B170" i="4" s="1" a="1"/>
  <c r="B170" i="4" s="1"/>
  <c r="F143" i="4" a="1"/>
  <c r="F143" i="4" s="1"/>
  <c r="B143" i="4" s="1" a="1"/>
  <c r="B143" i="4" s="1"/>
  <c r="F284" i="4" a="1"/>
  <c r="F284" i="4" s="1"/>
  <c r="F141" i="4" a="1"/>
  <c r="F141" i="4" s="1"/>
  <c r="B141" i="4" s="1" a="1"/>
  <c r="B141" i="4" s="1"/>
  <c r="F178" i="4" a="1"/>
  <c r="F178" i="4" s="1"/>
  <c r="B178" i="4" s="1" a="1"/>
  <c r="B178" i="4" s="1"/>
  <c r="F195" i="4" a="1"/>
  <c r="F195" i="4" s="1"/>
  <c r="B195" i="4" s="1" a="1"/>
  <c r="B195" i="4" s="1"/>
  <c r="F278" i="4" a="1"/>
  <c r="F278" i="4" s="1"/>
  <c r="F214" i="4" a="1"/>
  <c r="F214" i="4" s="1"/>
  <c r="B214" i="4" s="1" a="1"/>
  <c r="B214" i="4" s="1"/>
  <c r="F213" i="4" a="1"/>
  <c r="F213" i="4" s="1"/>
  <c r="B213" i="4" s="1" a="1"/>
  <c r="B213" i="4" s="1"/>
  <c r="L118" i="4" a="1"/>
  <c r="L118" i="4" s="1"/>
  <c r="G284" i="4" a="1"/>
  <c r="G284" i="4" s="1"/>
  <c r="B31" i="5"/>
  <c r="F188" i="4" a="1"/>
  <c r="F188" i="4" s="1"/>
  <c r="B188" i="4" s="1" a="1"/>
  <c r="B188" i="4" s="1"/>
  <c r="F192" i="4" a="1"/>
  <c r="F192" i="4" s="1"/>
  <c r="B192" i="4" s="1" a="1"/>
  <c r="B192" i="4" s="1"/>
  <c r="F283" i="4" a="1"/>
  <c r="F283" i="4" s="1"/>
  <c r="F150" i="4" a="1"/>
  <c r="F150" i="4" s="1"/>
  <c r="B150" i="4" s="1" a="1"/>
  <c r="B150" i="4" s="1"/>
  <c r="F139" i="4" a="1"/>
  <c r="F139" i="4" s="1"/>
  <c r="B139" i="4" s="1" a="1"/>
  <c r="B139" i="4" s="1"/>
  <c r="F289" i="4" a="1"/>
  <c r="F289" i="4" s="1"/>
  <c r="F177" i="4" a="1"/>
  <c r="F177" i="4" s="1"/>
  <c r="B177" i="4" s="1" a="1"/>
  <c r="B177" i="4" s="1"/>
  <c r="F162" i="4" a="1"/>
  <c r="F162" i="4" s="1"/>
  <c r="B162" i="4" s="1" a="1"/>
  <c r="B162" i="4" s="1"/>
  <c r="F144" i="4" a="1"/>
  <c r="F144" i="4" s="1"/>
  <c r="B144" i="4" s="1" a="1"/>
  <c r="B144" i="4" s="1"/>
  <c r="F164" i="4" a="1"/>
  <c r="F164" i="4" s="1"/>
  <c r="B164" i="4" s="1" a="1"/>
  <c r="B164" i="4" s="1"/>
  <c r="F160" i="4" a="1"/>
  <c r="F160" i="4" s="1"/>
  <c r="B160" i="4" s="1" a="1"/>
  <c r="B160" i="4" s="1"/>
  <c r="F148" i="4" a="1"/>
  <c r="F148" i="4" s="1"/>
  <c r="B148" i="4" s="1" a="1"/>
  <c r="B148" i="4" s="1"/>
  <c r="G283" i="4" a="1"/>
  <c r="G283" i="4" s="1"/>
  <c r="G276" i="4" a="1"/>
  <c r="G276" i="4" s="1"/>
  <c r="F147" i="4" a="1"/>
  <c r="F147" i="4" s="1"/>
  <c r="B147" i="4" s="1" a="1"/>
  <c r="B147" i="4" s="1"/>
  <c r="F218" i="4" a="1"/>
  <c r="F218" i="4" s="1"/>
  <c r="B218" i="4" s="1" a="1"/>
  <c r="B218" i="4" s="1"/>
  <c r="F167" i="4" a="1"/>
  <c r="F167" i="4" s="1"/>
  <c r="B167" i="4" s="1" a="1"/>
  <c r="B167" i="4" s="1"/>
  <c r="F158" i="4" a="1"/>
  <c r="F158" i="4" s="1"/>
  <c r="B158" i="4" s="1" a="1"/>
  <c r="B158" i="4" s="1"/>
  <c r="F185" i="4" a="1"/>
  <c r="F185" i="4" s="1"/>
  <c r="B185" i="4" s="1" a="1"/>
  <c r="B185" i="4" s="1"/>
  <c r="F219" i="4" a="1"/>
  <c r="F219" i="4" s="1"/>
  <c r="B219" i="4" s="1" a="1"/>
  <c r="B219" i="4" s="1"/>
  <c r="F183" i="4" a="1"/>
  <c r="F183" i="4" s="1"/>
  <c r="B183" i="4" s="1" a="1"/>
  <c r="B183" i="4" s="1"/>
  <c r="F155" i="4" a="1"/>
  <c r="F155" i="4" s="1"/>
  <c r="B155" i="4" s="1" a="1"/>
  <c r="B155" i="4" s="1"/>
  <c r="F206" i="4" a="1"/>
  <c r="F206" i="4" s="1"/>
  <c r="B206" i="4" s="1" a="1"/>
  <c r="B206" i="4" s="1"/>
  <c r="F180" i="4" a="1"/>
  <c r="F180" i="4" s="1"/>
  <c r="B180" i="4" s="1" a="1"/>
  <c r="B180" i="4" s="1"/>
  <c r="F146" i="4" a="1"/>
  <c r="F146" i="4" s="1"/>
  <c r="B146" i="4" s="1" a="1"/>
  <c r="B146" i="4" s="1"/>
  <c r="F161" i="4" a="1"/>
  <c r="F161" i="4" s="1"/>
  <c r="B161" i="4" s="1" a="1"/>
  <c r="B161" i="4" s="1"/>
  <c r="L117" i="4" a="1"/>
  <c r="L117" i="4" s="1"/>
  <c r="G286" i="4" a="1"/>
  <c r="G286" i="4" s="1"/>
  <c r="F182" i="4" a="1"/>
  <c r="F182" i="4" s="1"/>
  <c r="B182" i="4" s="1" a="1"/>
  <c r="B182" i="4" s="1"/>
  <c r="F135" i="4" a="1"/>
  <c r="F135" i="4" s="1"/>
  <c r="B135" i="4" s="1" a="1"/>
  <c r="B135" i="4" s="1"/>
  <c r="F228" i="4" a="1"/>
  <c r="F228" i="4" s="1"/>
  <c r="B228" i="4" s="1" a="1"/>
  <c r="B228" i="4" s="1"/>
  <c r="F223" i="4" a="1"/>
  <c r="F223" i="4" s="1"/>
  <c r="B223" i="4" s="1" a="1"/>
  <c r="B223" i="4" s="1"/>
  <c r="F176" i="4" a="1"/>
  <c r="F176" i="4" s="1"/>
  <c r="B176" i="4" s="1" a="1"/>
  <c r="B176" i="4" s="1"/>
  <c r="F227" i="4" a="1"/>
  <c r="F227" i="4" s="1"/>
  <c r="B227" i="4" s="1" a="1"/>
  <c r="B227" i="4" s="1"/>
  <c r="F168" i="4" a="1"/>
  <c r="F168" i="4" s="1"/>
  <c r="B168" i="4" s="1" a="1"/>
  <c r="B168" i="4" s="1"/>
  <c r="F140" i="4" a="1"/>
  <c r="F140" i="4" s="1"/>
  <c r="B140" i="4" s="1" a="1"/>
  <c r="B140" i="4" s="1"/>
  <c r="F216" i="4" a="1"/>
  <c r="F216" i="4" s="1"/>
  <c r="B216" i="4" s="1" a="1"/>
  <c r="B216" i="4" s="1"/>
  <c r="F287" i="4" a="1"/>
  <c r="F287" i="4" s="1"/>
  <c r="F229" i="4" a="1"/>
  <c r="F229" i="4" s="1"/>
  <c r="B229" i="4" s="1" a="1"/>
  <c r="B229" i="4" s="1"/>
  <c r="F133" i="4" a="1"/>
  <c r="F133" i="4" s="1"/>
  <c r="B133" i="4" s="1" a="1"/>
  <c r="B133" i="4" s="1"/>
  <c r="F209" i="4" a="1"/>
  <c r="F209" i="4" s="1"/>
  <c r="B209" i="4" s="1" a="1"/>
  <c r="B209" i="4" s="1"/>
  <c r="F169" i="4" a="1"/>
  <c r="F169" i="4" s="1"/>
  <c r="B169" i="4" s="1" a="1"/>
  <c r="B169" i="4" s="1"/>
  <c r="G280" i="4" a="1"/>
  <c r="G280" i="4" s="1"/>
  <c r="F285" i="4" a="1"/>
  <c r="F285" i="4" s="1"/>
  <c r="G282" i="4" a="1"/>
  <c r="G282" i="4" s="1"/>
  <c r="F215" i="4" a="1"/>
  <c r="F215" i="4" s="1"/>
  <c r="B215" i="4" s="1" a="1"/>
  <c r="B215" i="4" s="1"/>
  <c r="F222" i="4" a="1"/>
  <c r="F222" i="4" s="1"/>
  <c r="B222" i="4" s="1" a="1"/>
  <c r="B222" i="4" s="1"/>
  <c r="F134" i="4" a="1"/>
  <c r="F134" i="4" s="1"/>
  <c r="B134" i="4" s="1" a="1"/>
  <c r="B134" i="4" s="1"/>
  <c r="F221" i="4" a="1"/>
  <c r="F221" i="4" s="1"/>
  <c r="B221" i="4" s="1" a="1"/>
  <c r="B221" i="4" s="1"/>
  <c r="F181" i="4" a="1"/>
  <c r="F181" i="4" s="1"/>
  <c r="B181" i="4" s="1" a="1"/>
  <c r="B181" i="4" s="1"/>
  <c r="F194" i="4" a="1"/>
  <c r="F194" i="4" s="1"/>
  <c r="B194" i="4" s="1" a="1"/>
  <c r="B194" i="4" s="1"/>
  <c r="F165" i="4" a="1"/>
  <c r="F165" i="4" s="1"/>
  <c r="B165" i="4" s="1" a="1"/>
  <c r="B165" i="4" s="1"/>
  <c r="F179" i="4" a="1"/>
  <c r="F179" i="4" s="1"/>
  <c r="B179" i="4" s="1" a="1"/>
  <c r="B179" i="4" s="1"/>
  <c r="F288" i="4" a="1"/>
  <c r="F288" i="4" s="1"/>
  <c r="F199" i="4" a="1"/>
  <c r="F199" i="4" s="1"/>
  <c r="B199" i="4" s="1" a="1"/>
  <c r="B199" i="4" s="1"/>
  <c r="F202" i="4" a="1"/>
  <c r="F202" i="4" s="1"/>
  <c r="B202" i="4" s="1" a="1"/>
  <c r="B202" i="4" s="1"/>
  <c r="F131" i="4" a="1"/>
  <c r="F131" i="4" s="1"/>
  <c r="B131" i="4" s="1" a="1"/>
  <c r="B131" i="4" s="1"/>
  <c r="F137" i="4" a="1"/>
  <c r="F137" i="4" s="1"/>
  <c r="B137" i="4" s="1" a="1"/>
  <c r="B137" i="4" s="1"/>
  <c r="F276" i="4" a="1"/>
  <c r="F276" i="4" s="1"/>
  <c r="F210" i="4" a="1"/>
  <c r="F210" i="4" s="1"/>
  <c r="B210" i="4" s="1" a="1"/>
  <c r="B210" i="4" s="1"/>
  <c r="F208" i="4" a="1"/>
  <c r="F208" i="4" s="1"/>
  <c r="B208" i="4" s="1" a="1"/>
  <c r="B208" i="4" s="1"/>
  <c r="F186" i="4" a="1"/>
  <c r="F186" i="4" s="1"/>
  <c r="B186" i="4" s="1" a="1"/>
  <c r="B186" i="4" s="1"/>
  <c r="F211" i="4" a="1"/>
  <c r="F211" i="4" s="1"/>
  <c r="B211" i="4" s="1" a="1"/>
  <c r="B211" i="4" s="1"/>
  <c r="F184" i="4" a="1"/>
  <c r="F184" i="4" s="1"/>
  <c r="B184" i="4" s="1" a="1"/>
  <c r="B184" i="4" s="1"/>
  <c r="F173" i="4" a="1"/>
  <c r="F173" i="4" s="1"/>
  <c r="B173" i="4" s="1" a="1"/>
  <c r="B173" i="4" s="1"/>
  <c r="F205" i="4" a="1"/>
  <c r="F205" i="4" s="1"/>
  <c r="B205" i="4" s="1" a="1"/>
  <c r="B205" i="4" s="1"/>
  <c r="F163" i="4" a="1"/>
  <c r="F163" i="4" s="1"/>
  <c r="B163" i="4" s="1" a="1"/>
  <c r="B163" i="4" s="1"/>
  <c r="B22" i="5"/>
  <c r="B28" i="5" s="1"/>
  <c r="F175" i="4" a="1"/>
  <c r="F175" i="4" s="1"/>
  <c r="B175" i="4" s="1" a="1"/>
  <c r="B175" i="4" s="1"/>
  <c r="F142" i="4" a="1"/>
  <c r="F142" i="4" s="1"/>
  <c r="B142" i="4" s="1" a="1"/>
  <c r="B142" i="4" s="1"/>
  <c r="F136" i="4" a="1"/>
  <c r="F136" i="4" s="1"/>
  <c r="B136" i="4" s="1" a="1"/>
  <c r="B136" i="4" s="1"/>
  <c r="F226" i="4" a="1"/>
  <c r="F226" i="4" s="1"/>
  <c r="B226" i="4" s="1" a="1"/>
  <c r="B226" i="4" s="1"/>
  <c r="F230" i="4" a="1"/>
  <c r="F230" i="4" s="1"/>
  <c r="B230" i="4" s="1" a="1"/>
  <c r="B230" i="4" s="1"/>
  <c r="F190" i="4" a="1"/>
  <c r="F190" i="4" s="1"/>
  <c r="B190" i="4" s="1" a="1"/>
  <c r="B190" i="4" s="1"/>
  <c r="F279" i="4" a="1"/>
  <c r="F279" i="4" s="1"/>
  <c r="F132" i="4" a="1"/>
  <c r="F132" i="4" s="1"/>
  <c r="B132" i="4" s="1" a="1"/>
  <c r="B132" i="4" s="1"/>
  <c r="F224" i="4" a="1"/>
  <c r="F224" i="4" s="1"/>
  <c r="B224" i="4" s="1" a="1"/>
  <c r="B224" i="4" s="1"/>
  <c r="F151" i="4" a="1"/>
  <c r="F151" i="4" s="1"/>
  <c r="B151" i="4" s="1" a="1"/>
  <c r="B151" i="4" s="1"/>
  <c r="F201" i="4" a="1"/>
  <c r="F201" i="4" s="1"/>
  <c r="B201" i="4" s="1" a="1"/>
  <c r="B201" i="4" s="1"/>
  <c r="G278" i="4" a="1"/>
  <c r="G278" i="4" s="1"/>
  <c r="G275" i="4" a="1"/>
  <c r="G275" i="4" s="1"/>
  <c r="F149" i="4" a="1"/>
  <c r="F149" i="4" s="1"/>
  <c r="B149" i="4" s="1" a="1"/>
  <c r="B149" i="4" s="1"/>
  <c r="F207" i="4" a="1"/>
  <c r="F207" i="4" s="1"/>
  <c r="B207" i="4" s="1" a="1"/>
  <c r="B207" i="4" s="1"/>
  <c r="F174" i="4" a="1"/>
  <c r="F174" i="4" s="1"/>
  <c r="B174" i="4" s="1" a="1"/>
  <c r="B174" i="4" s="1"/>
  <c r="F286" i="4" a="1"/>
  <c r="F286" i="4" s="1"/>
  <c r="F197" i="4" a="1"/>
  <c r="F197" i="4" s="1"/>
  <c r="B197" i="4" s="1" a="1"/>
  <c r="B197" i="4" s="1"/>
  <c r="F154" i="4" a="1"/>
  <c r="F154" i="4" s="1"/>
  <c r="B154" i="4" s="1" a="1"/>
  <c r="B154" i="4" s="1"/>
  <c r="G285" i="4" a="1"/>
  <c r="G285" i="4" s="1"/>
  <c r="L124" i="4" a="1"/>
  <c r="L124" i="4" s="1"/>
  <c r="I3" i="1"/>
  <c r="L122" i="4" a="1"/>
  <c r="L122" i="4" s="1"/>
  <c r="G281" i="4" a="1"/>
  <c r="G281" i="4" s="1"/>
  <c r="I9" i="1"/>
  <c r="L119" i="4" a="1"/>
  <c r="L119" i="4" s="1"/>
  <c r="F212" i="4" a="1"/>
  <c r="F212" i="4" s="1"/>
  <c r="B212" i="4" s="1" a="1"/>
  <c r="B212" i="4" s="1"/>
  <c r="F189" i="4" a="1"/>
  <c r="F189" i="4" s="1"/>
  <c r="B189" i="4" s="1" a="1"/>
  <c r="B189" i="4" s="1"/>
  <c r="F196" i="4" a="1"/>
  <c r="F196" i="4" s="1"/>
  <c r="B196" i="4" s="1" a="1"/>
  <c r="B196" i="4" s="1"/>
  <c r="F152" i="4" a="1"/>
  <c r="F152" i="4" s="1"/>
  <c r="B152" i="4" s="1" a="1"/>
  <c r="B152" i="4" s="1"/>
  <c r="F171" i="4" a="1"/>
  <c r="F171" i="4" s="1"/>
  <c r="B171" i="4" s="1" a="1"/>
  <c r="B171" i="4" s="1"/>
  <c r="F281" i="4" a="1"/>
  <c r="F281" i="4" s="1"/>
  <c r="F198" i="4" a="1"/>
  <c r="F198" i="4" s="1"/>
  <c r="B198" i="4" s="1" a="1"/>
  <c r="B198" i="4" s="1"/>
  <c r="F157" i="4" a="1"/>
  <c r="F157" i="4" s="1"/>
  <c r="B157" i="4" s="1" a="1"/>
  <c r="B157" i="4" s="1"/>
  <c r="C22" i="5"/>
  <c r="C28" i="5" s="1"/>
  <c r="F145" i="4" a="1"/>
  <c r="F145" i="4" s="1"/>
  <c r="B145" i="4" s="1" a="1"/>
  <c r="B145" i="4" s="1"/>
  <c r="F282" i="4" a="1"/>
  <c r="F282" i="4" s="1"/>
  <c r="F200" i="4" a="1"/>
  <c r="F200" i="4" s="1"/>
  <c r="B200" i="4" s="1" a="1"/>
  <c r="B200" i="4" s="1"/>
  <c r="F220" i="4" a="1"/>
  <c r="F220" i="4" s="1"/>
  <c r="B220" i="4" s="1" a="1"/>
  <c r="B220" i="4" s="1"/>
  <c r="F138" i="4" a="1"/>
  <c r="F138" i="4" s="1"/>
  <c r="B138" i="4" s="1" a="1"/>
  <c r="B138" i="4" s="1"/>
  <c r="F153" i="4" a="1"/>
  <c r="F153" i="4" s="1"/>
  <c r="B153" i="4" s="1" a="1"/>
  <c r="B153" i="4" s="1"/>
  <c r="F187" i="4" a="1"/>
  <c r="F187" i="4" s="1"/>
  <c r="B187" i="4" s="1" a="1"/>
  <c r="B187" i="4" s="1"/>
  <c r="G288" i="4" a="1"/>
  <c r="G288" i="4" s="1"/>
  <c r="L121" i="4" a="1"/>
  <c r="L121" i="4" s="1"/>
  <c r="F204" i="4" a="1"/>
  <c r="F204" i="4" s="1"/>
  <c r="B204" i="4" s="1" a="1"/>
  <c r="B204" i="4" s="1"/>
  <c r="F225" i="4" a="1"/>
  <c r="F225" i="4" s="1"/>
  <c r="B225" i="4" s="1" a="1"/>
  <c r="B225" i="4" s="1"/>
  <c r="G287" i="4" a="1"/>
  <c r="G287" i="4" s="1"/>
  <c r="L123" i="4" a="1"/>
  <c r="L123" i="4" s="1"/>
  <c r="F193" i="4" a="1"/>
  <c r="F193" i="4" s="1"/>
  <c r="B193" i="4" s="1" a="1"/>
  <c r="B193" i="4" s="1"/>
  <c r="F280" i="4" a="1"/>
  <c r="F280" i="4" s="1"/>
  <c r="F156" i="4" a="1"/>
  <c r="F156" i="4" s="1"/>
  <c r="B156" i="4" s="1" a="1"/>
  <c r="B156" i="4" s="1"/>
  <c r="F277" i="4" a="1"/>
  <c r="F277" i="4" s="1"/>
  <c r="F191" i="4" a="1"/>
  <c r="F191" i="4" s="1"/>
  <c r="B191" i="4" s="1" a="1"/>
  <c r="B191" i="4" s="1"/>
  <c r="L125" i="4" a="1"/>
  <c r="L125" i="4" s="1"/>
  <c r="G277" i="4" a="1"/>
  <c r="G277" i="4" s="1"/>
  <c r="L126" i="4" a="1"/>
  <c r="L126" i="4" s="1"/>
  <c r="B123" i="4" l="1" a="1"/>
  <c r="B123" i="4" s="1"/>
  <c r="I30" i="1" s="1"/>
  <c r="B117" i="4" a="1"/>
  <c r="B117" i="4" s="1"/>
  <c r="I24" i="1" s="1"/>
  <c r="B119" i="4" a="1"/>
  <c r="B119" i="4" s="1"/>
  <c r="I26" i="1" s="1"/>
  <c r="B124" i="4" a="1"/>
  <c r="B124" i="4" s="1"/>
  <c r="I31" i="1" s="1"/>
  <c r="B125" i="4" a="1"/>
  <c r="B125" i="4" s="1"/>
  <c r="I32" i="1" s="1"/>
  <c r="B118" i="4" a="1"/>
  <c r="B118" i="4" s="1"/>
  <c r="I25" i="1" s="1"/>
  <c r="B122" i="4" a="1"/>
  <c r="B122" i="4" s="1"/>
  <c r="I29" i="1" s="1"/>
  <c r="B126" i="4" a="1"/>
  <c r="B126" i="4" s="1"/>
  <c r="I33" i="1" s="1"/>
  <c r="B120" i="4" a="1"/>
  <c r="B120" i="4" s="1"/>
  <c r="I27" i="1" s="1"/>
  <c r="B121" i="4" a="1"/>
  <c r="B121" i="4" s="1"/>
  <c r="I28" i="1" s="1"/>
  <c r="B98" i="4"/>
  <c r="I155" i="1"/>
  <c r="B289" i="4" a="1"/>
  <c r="B289" i="4" s="1"/>
  <c r="I117" i="1" s="1"/>
  <c r="B286" i="4" a="1"/>
  <c r="B286" i="4" s="1"/>
  <c r="I114" i="1" s="1"/>
  <c r="B279" i="4" a="1"/>
  <c r="B279" i="4" s="1"/>
  <c r="I107" i="1" s="1"/>
  <c r="B282" i="4" a="1"/>
  <c r="B282" i="4" s="1"/>
  <c r="I110" i="1" s="1"/>
  <c r="B280" i="4" a="1"/>
  <c r="B280" i="4" s="1"/>
  <c r="I108" i="1" s="1"/>
  <c r="B277" i="4" a="1"/>
  <c r="B277" i="4" s="1"/>
  <c r="I105" i="1" s="1"/>
  <c r="B281" i="4" a="1"/>
  <c r="B281" i="4" s="1"/>
  <c r="I109" i="1" s="1"/>
  <c r="B276" i="4" a="1"/>
  <c r="B276" i="4" s="1"/>
  <c r="I104" i="1" s="1"/>
  <c r="B32" i="5"/>
  <c r="B283" i="4" a="1"/>
  <c r="B283" i="4" s="1"/>
  <c r="I111" i="1" s="1"/>
  <c r="B285" i="4" a="1"/>
  <c r="B285" i="4" s="1"/>
  <c r="I113" i="1" s="1"/>
  <c r="B288" i="4" a="1"/>
  <c r="B288" i="4" s="1"/>
  <c r="I116" i="1" s="1"/>
  <c r="B275" i="4" a="1"/>
  <c r="B275" i="4" s="1"/>
  <c r="I103" i="1" s="1"/>
  <c r="B278" i="4" a="1"/>
  <c r="B278" i="4" s="1"/>
  <c r="I106" i="1" s="1"/>
  <c r="B287" i="4" a="1"/>
  <c r="B287" i="4" s="1"/>
  <c r="I115" i="1" s="1"/>
  <c r="B284" i="4" a="1"/>
  <c r="B284" i="4" s="1"/>
  <c r="I112" i="1" s="1"/>
  <c r="H13" i="1" a="1"/>
  <c r="H13" i="1" s="1"/>
  <c r="C329" i="4"/>
  <c r="I13" i="1"/>
  <c r="B329" i="4"/>
  <c r="H15" i="1"/>
  <c r="I15" i="1" s="1"/>
  <c r="E329" i="4"/>
  <c r="D329" i="4" l="1"/>
  <c r="A329" i="4" s="1"/>
  <c r="I15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<sst xmlns="http://schemas.openxmlformats.org/spreadsheetml/2006/main" count="1202" uniqueCount="873">
  <si>
    <t>Project title:</t>
  </si>
  <si>
    <t>File number:</t>
  </si>
  <si>
    <t>Summary</t>
  </si>
  <si>
    <t>Totals</t>
  </si>
  <si>
    <t>Total co-funding</t>
  </si>
  <si>
    <t>Personnel costs</t>
  </si>
  <si>
    <t>Total personnel costs:</t>
  </si>
  <si>
    <t>Sub total:</t>
  </si>
  <si>
    <t>Material costs</t>
  </si>
  <si>
    <t>Description</t>
  </si>
  <si>
    <t>Amount</t>
  </si>
  <si>
    <t>Investments</t>
  </si>
  <si>
    <t>Total material costs:</t>
  </si>
  <si>
    <t>Knowledge utilisation</t>
  </si>
  <si>
    <t>Co-funding</t>
  </si>
  <si>
    <t>University</t>
  </si>
  <si>
    <t>NCB Naturalis</t>
  </si>
  <si>
    <t>Other</t>
  </si>
  <si>
    <t>TO2 institute</t>
  </si>
  <si>
    <t>Netherlands Cancer Institute</t>
  </si>
  <si>
    <t>Prinses Máxima Center for pediatric oncology</t>
  </si>
  <si>
    <t>UMC</t>
  </si>
  <si>
    <t>ARCNL</t>
  </si>
  <si>
    <t>Max Planck Institute for Psycholinguistics</t>
  </si>
  <si>
    <t>Business micro</t>
  </si>
  <si>
    <t>Business large</t>
  </si>
  <si>
    <t>Citizen initiative</t>
  </si>
  <si>
    <t>NGO</t>
  </si>
  <si>
    <t>Foundation</t>
  </si>
  <si>
    <t>Association</t>
  </si>
  <si>
    <t>% co-funding of total project budget</t>
  </si>
  <si>
    <r>
      <t>Benchfee</t>
    </r>
    <r>
      <rPr>
        <sz val="10"/>
        <color theme="1"/>
        <rFont val="Calibri"/>
        <family val="2"/>
        <scheme val="minor"/>
      </rPr>
      <t xml:space="preserve"> (for PhD en Postdoc)</t>
    </r>
  </si>
  <si>
    <t>Category</t>
  </si>
  <si>
    <t>FTE</t>
  </si>
  <si>
    <t>Months</t>
  </si>
  <si>
    <t>Personnel academic institutes</t>
  </si>
  <si>
    <t>Total co-funding:</t>
  </si>
  <si>
    <t>Project management</t>
  </si>
  <si>
    <t>KNAW institute</t>
  </si>
  <si>
    <t>NWO institute</t>
  </si>
  <si>
    <t>Organisation type</t>
  </si>
  <si>
    <t>University of applied sciences</t>
  </si>
  <si>
    <t>RKI (governmental knowledge institute)</t>
  </si>
  <si>
    <t>Public knowledge institute</t>
  </si>
  <si>
    <t>Private knowledge institute</t>
  </si>
  <si>
    <t>Healthcare organisation</t>
  </si>
  <si>
    <t>Business SME</t>
  </si>
  <si>
    <t>Governmental organisation</t>
  </si>
  <si>
    <t>In-kind co-funding</t>
  </si>
  <si>
    <t>In-cash co-funding</t>
  </si>
  <si>
    <t>Costs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</si>
  <si>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</si>
  <si>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</si>
  <si>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</si>
  <si>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</si>
  <si>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</si>
  <si>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</si>
  <si>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</si>
  <si>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</si>
  <si>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</si>
  <si>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</si>
  <si>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</si>
  <si>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</si>
  <si>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</si>
  <si>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</si>
  <si>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</si>
  <si>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</si>
  <si>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</si>
  <si>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</si>
  <si>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</si>
  <si>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</si>
  <si>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</si>
  <si>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</si>
  <si>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</si>
  <si>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</si>
  <si>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</si>
  <si>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</si>
  <si>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</si>
  <si>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</si>
  <si>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</si>
  <si>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</si>
  <si>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</si>
  <si>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</si>
  <si>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</si>
  <si>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</si>
  <si>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</si>
  <si>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</si>
  <si>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</si>
  <si>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</si>
  <si>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</si>
  <si>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</si>
  <si>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</si>
  <si>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</si>
  <si>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</si>
  <si>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</si>
  <si>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</si>
  <si>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</si>
  <si>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</si>
  <si>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</si>
  <si>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</si>
  <si>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</si>
  <si>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</si>
  <si>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</si>
  <si>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</si>
  <si>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</si>
  <si>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</si>
  <si>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</si>
  <si>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</si>
  <si>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</si>
  <si>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</si>
  <si>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</si>
  <si>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</si>
  <si>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</si>
  <si>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</si>
  <si>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</si>
  <si>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</si>
  <si>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</si>
  <si>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</si>
  <si>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</si>
  <si>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</si>
  <si>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</si>
  <si>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</si>
  <si>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</si>
  <si>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</si>
  <si>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</si>
  <si>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</si>
  <si>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</si>
  <si>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</si>
  <si>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</si>
  <si>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</si>
  <si>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</si>
  <si>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</si>
  <si>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</si>
  <si>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</si>
  <si>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</si>
  <si>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</si>
  <si>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</si>
  <si>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</si>
  <si>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</si>
  <si>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</si>
  <si>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</si>
  <si>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</si>
  <si>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</si>
  <si>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</si>
  <si>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</si>
  <si>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</si>
  <si>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</si>
  <si>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category</t>
  </si>
  <si>
    <t>Total NWO funding</t>
  </si>
  <si>
    <t>Max NWO funding</t>
  </si>
  <si>
    <t>% in-cash co-funding of total project budget</t>
  </si>
  <si>
    <t>Benchfee amount</t>
  </si>
  <si>
    <t># Benchfee</t>
  </si>
  <si>
    <t xml:space="preserve"> </t>
  </si>
  <si>
    <t xml:space="preserve">  </t>
  </si>
  <si>
    <t xml:space="preserve">   </t>
  </si>
  <si>
    <t>Country</t>
  </si>
  <si>
    <t>General parameters</t>
  </si>
  <si>
    <t>Lists</t>
  </si>
  <si>
    <t>Max project duration [months]</t>
  </si>
  <si>
    <t>File originally created:</t>
  </si>
  <si>
    <t>Personnel</t>
  </si>
  <si>
    <t>date NFU rates</t>
  </si>
  <si>
    <t>date HOT rates</t>
  </si>
  <si>
    <t>Own contribution applicable?</t>
  </si>
  <si>
    <t>Maximum amount without own contribution</t>
  </si>
  <si>
    <t>Min % own contribution above threshold amount</t>
  </si>
  <si>
    <t>Min total amount investments</t>
  </si>
  <si>
    <t>Max total amount investments</t>
  </si>
  <si>
    <t>Row in table</t>
  </si>
  <si>
    <t>Total:</t>
  </si>
  <si>
    <t>Salary table personnel other institutes</t>
  </si>
  <si>
    <t>Max hourly rate</t>
  </si>
  <si>
    <t>instruction</t>
  </si>
  <si>
    <t>Totals:</t>
  </si>
  <si>
    <t>Materials</t>
  </si>
  <si>
    <t>Type HOT rates</t>
  </si>
  <si>
    <t>Cost Plus</t>
  </si>
  <si>
    <t>Max amount, % of NWO contribution</t>
  </si>
  <si>
    <t>Min % co-funding, of total project budget</t>
  </si>
  <si>
    <t>Max % co-funding, of total project budget</t>
  </si>
  <si>
    <t>Min % in-cash co-funding, of total project budget</t>
  </si>
  <si>
    <t>Invoicing via NWO/knowledge institute</t>
  </si>
  <si>
    <t>Total in-cash co-funding</t>
  </si>
  <si>
    <t>Total in-kind co-funding</t>
  </si>
  <si>
    <t>Country Correction Coefficients</t>
  </si>
  <si>
    <t>https://www.nwo.nl/documents/nwo/beleid/money-follows-cooperation/nwo-country-correction-coefficients-ccc</t>
  </si>
  <si>
    <t>https://www.iso.org/iso-3166-country-codes.html</t>
  </si>
  <si>
    <t>Code</t>
  </si>
  <si>
    <t>Code and Country</t>
  </si>
  <si>
    <t>CC</t>
  </si>
  <si>
    <t>Categorie</t>
  </si>
  <si>
    <t>AL</t>
  </si>
  <si>
    <t>Albania</t>
  </si>
  <si>
    <t>Other Horizon 2020</t>
  </si>
  <si>
    <t>DZ</t>
  </si>
  <si>
    <t>Algeria</t>
  </si>
  <si>
    <t>Third countries</t>
  </si>
  <si>
    <t>AO</t>
  </si>
  <si>
    <t>Angola</t>
  </si>
  <si>
    <t>AR</t>
  </si>
  <si>
    <t>Argentina</t>
  </si>
  <si>
    <t>AM</t>
  </si>
  <si>
    <t>Armenia</t>
  </si>
  <si>
    <t>AU</t>
  </si>
  <si>
    <t>Australia</t>
  </si>
  <si>
    <t>AT</t>
  </si>
  <si>
    <t>Austria</t>
  </si>
  <si>
    <t>EU member states</t>
  </si>
  <si>
    <t>AZ</t>
  </si>
  <si>
    <t>Azerbaijan</t>
  </si>
  <si>
    <t>BD</t>
  </si>
  <si>
    <t>Bangladesh</t>
  </si>
  <si>
    <t>BB</t>
  </si>
  <si>
    <t>Barbados</t>
  </si>
  <si>
    <t>BY</t>
  </si>
  <si>
    <t>Belarus</t>
  </si>
  <si>
    <t>BE</t>
  </si>
  <si>
    <t>Belgium</t>
  </si>
  <si>
    <t>BZ</t>
  </si>
  <si>
    <t>Belize</t>
  </si>
  <si>
    <t>BJ</t>
  </si>
  <si>
    <t>Benin</t>
  </si>
  <si>
    <t>BM</t>
  </si>
  <si>
    <t>Bermuda</t>
  </si>
  <si>
    <t>BO</t>
  </si>
  <si>
    <t>Bolivia (Plurinational State of)</t>
  </si>
  <si>
    <t>BA</t>
  </si>
  <si>
    <t>Bosnia and Herzegovina</t>
  </si>
  <si>
    <t>BW</t>
  </si>
  <si>
    <t>Botswana</t>
  </si>
  <si>
    <t>BR</t>
  </si>
  <si>
    <t>Brazil</t>
  </si>
  <si>
    <t>BG</t>
  </si>
  <si>
    <t>Bulgaria</t>
  </si>
  <si>
    <t>BF</t>
  </si>
  <si>
    <t>Burkina Faso</t>
  </si>
  <si>
    <t>BI</t>
  </si>
  <si>
    <t>Burundi</t>
  </si>
  <si>
    <t>CV</t>
  </si>
  <si>
    <t>Cabo Verde</t>
  </si>
  <si>
    <t>KH</t>
  </si>
  <si>
    <t>Cambodia</t>
  </si>
  <si>
    <t>CM</t>
  </si>
  <si>
    <t>Cameroon</t>
  </si>
  <si>
    <t>CA</t>
  </si>
  <si>
    <t>Canada</t>
  </si>
  <si>
    <t>CF</t>
  </si>
  <si>
    <t>Central African Republic (the)</t>
  </si>
  <si>
    <t>TD</t>
  </si>
  <si>
    <t>Chad</t>
  </si>
  <si>
    <t>CL</t>
  </si>
  <si>
    <t>Chile</t>
  </si>
  <si>
    <t>CN</t>
  </si>
  <si>
    <t>China</t>
  </si>
  <si>
    <t>CO</t>
  </si>
  <si>
    <t>Colombia</t>
  </si>
  <si>
    <t>KM</t>
  </si>
  <si>
    <t>Comoros (the)</t>
  </si>
  <si>
    <t>CD</t>
  </si>
  <si>
    <t>Congo (the Democratic Republic of the)</t>
  </si>
  <si>
    <t>CG</t>
  </si>
  <si>
    <t>Congo (the)</t>
  </si>
  <si>
    <t>CR</t>
  </si>
  <si>
    <t>Costa Rica</t>
  </si>
  <si>
    <t>CI</t>
  </si>
  <si>
    <t>Côte d'Ivoire</t>
  </si>
  <si>
    <t>HR</t>
  </si>
  <si>
    <t>Croatia</t>
  </si>
  <si>
    <t>CU</t>
  </si>
  <si>
    <t>Cuba</t>
  </si>
  <si>
    <t>CY</t>
  </si>
  <si>
    <t>Cyprus</t>
  </si>
  <si>
    <t>CZ</t>
  </si>
  <si>
    <t>Czechia</t>
  </si>
  <si>
    <t>DK</t>
  </si>
  <si>
    <t>Denmark</t>
  </si>
  <si>
    <t>DJ</t>
  </si>
  <si>
    <t>Djibouti</t>
  </si>
  <si>
    <t>DO</t>
  </si>
  <si>
    <t>Dominican Republic (the)</t>
  </si>
  <si>
    <t>EC</t>
  </si>
  <si>
    <t>Ecuador</t>
  </si>
  <si>
    <t>EG</t>
  </si>
  <si>
    <t>Egypt</t>
  </si>
  <si>
    <t>SV</t>
  </si>
  <si>
    <t>El Salvador</t>
  </si>
  <si>
    <t>ER</t>
  </si>
  <si>
    <t>Eritrea</t>
  </si>
  <si>
    <t>EE</t>
  </si>
  <si>
    <t>Estonia</t>
  </si>
  <si>
    <t>SZ</t>
  </si>
  <si>
    <t>Eswatini</t>
  </si>
  <si>
    <t>ET</t>
  </si>
  <si>
    <t>Ethiopia</t>
  </si>
  <si>
    <t>FO</t>
  </si>
  <si>
    <t>Faroe Islands (the)</t>
  </si>
  <si>
    <t>FJ</t>
  </si>
  <si>
    <t>Fiji</t>
  </si>
  <si>
    <t>FI</t>
  </si>
  <si>
    <t>Finland</t>
  </si>
  <si>
    <t>FR</t>
  </si>
  <si>
    <t>France</t>
  </si>
  <si>
    <t>GA</t>
  </si>
  <si>
    <t>Gabon</t>
  </si>
  <si>
    <t>GM</t>
  </si>
  <si>
    <t>Gambia (the)</t>
  </si>
  <si>
    <t>GE</t>
  </si>
  <si>
    <t>Georgia</t>
  </si>
  <si>
    <t>DE</t>
  </si>
  <si>
    <t>Germany</t>
  </si>
  <si>
    <t>GH</t>
  </si>
  <si>
    <t>Ghana</t>
  </si>
  <si>
    <t>GT</t>
  </si>
  <si>
    <t>Guatemala</t>
  </si>
  <si>
    <t>GN</t>
  </si>
  <si>
    <t>Guinea</t>
  </si>
  <si>
    <t>GW</t>
  </si>
  <si>
    <t>Guinea-Bissau</t>
  </si>
  <si>
    <t>GY</t>
  </si>
  <si>
    <t>Guyana</t>
  </si>
  <si>
    <t>HT</t>
  </si>
  <si>
    <t>Haiti</t>
  </si>
  <si>
    <t>HN</t>
  </si>
  <si>
    <t>Honduras</t>
  </si>
  <si>
    <t>HK</t>
  </si>
  <si>
    <t>Hong Kong</t>
  </si>
  <si>
    <t>HU</t>
  </si>
  <si>
    <t>Hungary</t>
  </si>
  <si>
    <t>IS</t>
  </si>
  <si>
    <t>Iceland</t>
  </si>
  <si>
    <t>IN</t>
  </si>
  <si>
    <t>India</t>
  </si>
  <si>
    <t>ID</t>
  </si>
  <si>
    <t>Indonesia</t>
  </si>
  <si>
    <t>IE</t>
  </si>
  <si>
    <t>Ireland</t>
  </si>
  <si>
    <t>IL</t>
  </si>
  <si>
    <t>Israel</t>
  </si>
  <si>
    <t>IT</t>
  </si>
  <si>
    <t>Italy</t>
  </si>
  <si>
    <t>JM</t>
  </si>
  <si>
    <t>Jamaica</t>
  </si>
  <si>
    <t>JP</t>
  </si>
  <si>
    <t>Japan</t>
  </si>
  <si>
    <t>JO</t>
  </si>
  <si>
    <t>Jordan</t>
  </si>
  <si>
    <t>KZ</t>
  </si>
  <si>
    <t>Kazakhstan</t>
  </si>
  <si>
    <t>KE</t>
  </si>
  <si>
    <t>Kenya</t>
  </si>
  <si>
    <t>KR</t>
  </si>
  <si>
    <t>Korea (the Republic of)</t>
  </si>
  <si>
    <t>KG</t>
  </si>
  <si>
    <t>Kyrgyzstan</t>
  </si>
  <si>
    <t>LA</t>
  </si>
  <si>
    <t>Lao People's Democratic Republic (the)</t>
  </si>
  <si>
    <t>LV</t>
  </si>
  <si>
    <t>Latvia</t>
  </si>
  <si>
    <t>LB</t>
  </si>
  <si>
    <t>Lebanon</t>
  </si>
  <si>
    <t>LS</t>
  </si>
  <si>
    <t>Lesotho</t>
  </si>
  <si>
    <t>LR</t>
  </si>
  <si>
    <t>Liberia</t>
  </si>
  <si>
    <t>LY</t>
  </si>
  <si>
    <t>Libya</t>
  </si>
  <si>
    <t>LI</t>
  </si>
  <si>
    <t>Liechtenstein</t>
  </si>
  <si>
    <t>LT</t>
  </si>
  <si>
    <t>Lithuania</t>
  </si>
  <si>
    <t>LU</t>
  </si>
  <si>
    <t>Luxembourg</t>
  </si>
  <si>
    <t>MG</t>
  </si>
  <si>
    <t>Madagascar</t>
  </si>
  <si>
    <t>MW</t>
  </si>
  <si>
    <t>Malawi</t>
  </si>
  <si>
    <t>MY</t>
  </si>
  <si>
    <t>Malaysia</t>
  </si>
  <si>
    <t>ML</t>
  </si>
  <si>
    <t>Mali</t>
  </si>
  <si>
    <t>MT</t>
  </si>
  <si>
    <t>Malta</t>
  </si>
  <si>
    <t>MR</t>
  </si>
  <si>
    <t>Mauritania</t>
  </si>
  <si>
    <t>MU</t>
  </si>
  <si>
    <t>Mauritius</t>
  </si>
  <si>
    <t>MX</t>
  </si>
  <si>
    <t>Mexico</t>
  </si>
  <si>
    <t>MD</t>
  </si>
  <si>
    <t>Moldova (the Republic of)</t>
  </si>
  <si>
    <t>ME</t>
  </si>
  <si>
    <t>Montenegro</t>
  </si>
  <si>
    <t>MA</t>
  </si>
  <si>
    <t>Morocco</t>
  </si>
  <si>
    <t>MZ</t>
  </si>
  <si>
    <t>Mozambique</t>
  </si>
  <si>
    <t>MM</t>
  </si>
  <si>
    <t>Myanmar</t>
  </si>
  <si>
    <t>NA</t>
  </si>
  <si>
    <t>Namibia</t>
  </si>
  <si>
    <t>NP</t>
  </si>
  <si>
    <t>Nepal</t>
  </si>
  <si>
    <t>NL</t>
  </si>
  <si>
    <t>Netherlands (the)</t>
  </si>
  <si>
    <t>NC</t>
  </si>
  <si>
    <t>New Caledonia</t>
  </si>
  <si>
    <t>NZ</t>
  </si>
  <si>
    <t>New Zealand</t>
  </si>
  <si>
    <t>NI</t>
  </si>
  <si>
    <t>Nicaragua</t>
  </si>
  <si>
    <t>NE</t>
  </si>
  <si>
    <t>Niger (the)</t>
  </si>
  <si>
    <t>NG</t>
  </si>
  <si>
    <t>Nigeria</t>
  </si>
  <si>
    <t>MK</t>
  </si>
  <si>
    <t>North Macedonia</t>
  </si>
  <si>
    <t>NO</t>
  </si>
  <si>
    <t>Norway</t>
  </si>
  <si>
    <t>PK</t>
  </si>
  <si>
    <t>Pakistan</t>
  </si>
  <si>
    <t>PS</t>
  </si>
  <si>
    <t>PA</t>
  </si>
  <si>
    <t>Panama</t>
  </si>
  <si>
    <t>PG</t>
  </si>
  <si>
    <t>Papua New Guinea</t>
  </si>
  <si>
    <t>PY</t>
  </si>
  <si>
    <t>Paraguay</t>
  </si>
  <si>
    <t>PE</t>
  </si>
  <si>
    <t>Peru</t>
  </si>
  <si>
    <t>PH</t>
  </si>
  <si>
    <t>Philippines (the)</t>
  </si>
  <si>
    <t>PL</t>
  </si>
  <si>
    <t>Poland</t>
  </si>
  <si>
    <t>PT</t>
  </si>
  <si>
    <t>Portugal</t>
  </si>
  <si>
    <t>RO</t>
  </si>
  <si>
    <t>Romania</t>
  </si>
  <si>
    <t>RU</t>
  </si>
  <si>
    <t>Russian Federation (the)</t>
  </si>
  <si>
    <t>RW</t>
  </si>
  <si>
    <t>Rwanda</t>
  </si>
  <si>
    <t>WS</t>
  </si>
  <si>
    <t>Samoa</t>
  </si>
  <si>
    <t>SA</t>
  </si>
  <si>
    <t>Saudi Arabia</t>
  </si>
  <si>
    <t>SN</t>
  </si>
  <si>
    <t>Senegal</t>
  </si>
  <si>
    <t>RS</t>
  </si>
  <si>
    <t>Serbia</t>
  </si>
  <si>
    <t>SL</t>
  </si>
  <si>
    <t>Sierra Leone</t>
  </si>
  <si>
    <t>SG</t>
  </si>
  <si>
    <t>Singapore</t>
  </si>
  <si>
    <t>SK</t>
  </si>
  <si>
    <t>Slovakia</t>
  </si>
  <si>
    <t>SI</t>
  </si>
  <si>
    <t>Slovenia</t>
  </si>
  <si>
    <t>SB</t>
  </si>
  <si>
    <t>Solomon Islands</t>
  </si>
  <si>
    <t>ZA</t>
  </si>
  <si>
    <t>South Africa</t>
  </si>
  <si>
    <t>ES</t>
  </si>
  <si>
    <t>Spain</t>
  </si>
  <si>
    <t>LK</t>
  </si>
  <si>
    <t>Sri Lanka</t>
  </si>
  <si>
    <t>SD</t>
  </si>
  <si>
    <t>Sudan (the)</t>
  </si>
  <si>
    <t>SR</t>
  </si>
  <si>
    <t>Suriname</t>
  </si>
  <si>
    <t>SE</t>
  </si>
  <si>
    <t>Sweden</t>
  </si>
  <si>
    <t>CH</t>
  </si>
  <si>
    <t>Switzerland</t>
  </si>
  <si>
    <t>SY</t>
  </si>
  <si>
    <t>Syrian Arab Republic (the)</t>
  </si>
  <si>
    <t>TW</t>
  </si>
  <si>
    <t>Taiwan (Province of China)</t>
  </si>
  <si>
    <t>TJ</t>
  </si>
  <si>
    <t>Tajikistan</t>
  </si>
  <si>
    <t>TZ</t>
  </si>
  <si>
    <t>Tanzania, the United Republic of</t>
  </si>
  <si>
    <t>TH</t>
  </si>
  <si>
    <t>Thailand</t>
  </si>
  <si>
    <t>TL</t>
  </si>
  <si>
    <t>Timor-Leste</t>
  </si>
  <si>
    <t>TG</t>
  </si>
  <si>
    <t>Togo</t>
  </si>
  <si>
    <t>TO</t>
  </si>
  <si>
    <t>Tonga</t>
  </si>
  <si>
    <t>TT</t>
  </si>
  <si>
    <t>Trinidad and Tobago</t>
  </si>
  <si>
    <t>TN</t>
  </si>
  <si>
    <t>Tunisia</t>
  </si>
  <si>
    <t>TR</t>
  </si>
  <si>
    <t>Turkey</t>
  </si>
  <si>
    <t>TM</t>
  </si>
  <si>
    <t>Turkmenistan</t>
  </si>
  <si>
    <t>UG</t>
  </si>
  <si>
    <t>Uganda</t>
  </si>
  <si>
    <t>UA</t>
  </si>
  <si>
    <t>Ukraine</t>
  </si>
  <si>
    <t>AE</t>
  </si>
  <si>
    <t>United Arab Emirates (the)</t>
  </si>
  <si>
    <t>UK</t>
  </si>
  <si>
    <t>United Kingdom of Great Britain and Northern Ireland (the)</t>
  </si>
  <si>
    <t>US</t>
  </si>
  <si>
    <t>United States of America (the)</t>
  </si>
  <si>
    <t>UY</t>
  </si>
  <si>
    <t>Uruguay</t>
  </si>
  <si>
    <t>UZ</t>
  </si>
  <si>
    <t>Uzbekistan</t>
  </si>
  <si>
    <t>VU</t>
  </si>
  <si>
    <t>Vanuatu</t>
  </si>
  <si>
    <t>VE</t>
  </si>
  <si>
    <t>Venezuela (Bolivarian Republic of)</t>
  </si>
  <si>
    <t>VN</t>
  </si>
  <si>
    <t>Viet Nam</t>
  </si>
  <si>
    <t>YE</t>
  </si>
  <si>
    <t>Yemen</t>
  </si>
  <si>
    <t>ZM</t>
  </si>
  <si>
    <t>Zambia</t>
  </si>
  <si>
    <t>ZW</t>
  </si>
  <si>
    <t>Zimbabwe</t>
  </si>
  <si>
    <t>EL</t>
  </si>
  <si>
    <t>XK</t>
  </si>
  <si>
    <t>Checks on input</t>
  </si>
  <si>
    <t>Situation</t>
  </si>
  <si>
    <t>Message</t>
  </si>
  <si>
    <t>Nr of months of academic personnel exceeding max project duration (or &gt;96 months).</t>
  </si>
  <si>
    <t>Number of months exceeds maximum.</t>
  </si>
  <si>
    <t>Exceeding nr months</t>
  </si>
  <si>
    <t>Row nr</t>
  </si>
  <si>
    <t>Appointment 3-year PhD less than the equivalent of 36 full-time months</t>
  </si>
  <si>
    <t>PD min duration</t>
  </si>
  <si>
    <t>PD max duration</t>
  </si>
  <si>
    <t>Combined notes</t>
  </si>
  <si>
    <t>Combined notes per position - academic</t>
  </si>
  <si>
    <t>Benchfee - requested number of benchfees exceeds FTE</t>
  </si>
  <si>
    <t># hours/year for non-academic personnel</t>
  </si>
  <si>
    <t>Benchee - requested for non-specified category</t>
  </si>
  <si>
    <t>Benchfee can only be requested for PhD and Postdoc positions.</t>
  </si>
  <si>
    <t>Project management - cannot be requested</t>
  </si>
  <si>
    <t>Project management - exceeding max amount</t>
  </si>
  <si>
    <t>In-cash cofunding - not enough</t>
  </si>
  <si>
    <t>Cofunding - not enough</t>
  </si>
  <si>
    <t>Cofunding - too much</t>
  </si>
  <si>
    <t>NFU:</t>
  </si>
  <si>
    <t>-Personnel other institutes</t>
  </si>
  <si>
    <t>Total Material</t>
  </si>
  <si>
    <t>Total project management</t>
  </si>
  <si>
    <t>Date:</t>
  </si>
  <si>
    <t>Checklist valid entries</t>
  </si>
  <si>
    <t>Start date later than end date</t>
  </si>
  <si>
    <t>Start date before end date.</t>
  </si>
  <si>
    <t>Start date before today</t>
  </si>
  <si>
    <t>Start date lies in the past.</t>
  </si>
  <si>
    <t>Threshold amount min. Cofunding</t>
  </si>
  <si>
    <t>Cofunding - not enough, including threshold amount</t>
  </si>
  <si>
    <t>Requested NWO budget too high</t>
  </si>
  <si>
    <t>Min NWO funding</t>
  </si>
  <si>
    <t>Requested NWO budget too low</t>
  </si>
  <si>
    <t>Project duration too long</t>
  </si>
  <si>
    <t>private?</t>
  </si>
  <si>
    <t>no</t>
  </si>
  <si>
    <t>Private co-funding - inkind</t>
  </si>
  <si>
    <t>list cofunders</t>
  </si>
  <si>
    <t>Private co-funding - incash</t>
  </si>
  <si>
    <t>Total priv. cof.:</t>
  </si>
  <si>
    <t>Private cofunding - not enough</t>
  </si>
  <si>
    <t>Min % of private co-funding, of total project budget</t>
  </si>
  <si>
    <t>Organisation</t>
  </si>
  <si>
    <t>Provide these amounts without VAT.</t>
  </si>
  <si>
    <t>Name call:</t>
  </si>
  <si>
    <t>Cash cofunding via:</t>
  </si>
  <si>
    <t>Expenses</t>
  </si>
  <si>
    <t>Budget post</t>
  </si>
  <si>
    <t>Total personnel</t>
  </si>
  <si>
    <t>-Personnel ac. institutes (incl benchfee)</t>
  </si>
  <si>
    <r>
      <t xml:space="preserve">Total Investments </t>
    </r>
    <r>
      <rPr>
        <b/>
        <i/>
        <sz val="10"/>
        <color theme="1"/>
        <rFont val="Calibri"/>
        <family val="2"/>
        <scheme val="minor"/>
      </rPr>
      <t>(incl by inst)</t>
    </r>
  </si>
  <si>
    <t>Total required resources</t>
  </si>
  <si>
    <t>Funding</t>
  </si>
  <si>
    <t>Via NWO</t>
  </si>
  <si>
    <t>Via institute</t>
  </si>
  <si>
    <t>NWO funding</t>
  </si>
  <si>
    <t>N/A</t>
  </si>
  <si>
    <t>In-kind cofunding</t>
  </si>
  <si>
    <t>Investments via institute</t>
  </si>
  <si>
    <t>In-cash cofunding</t>
  </si>
  <si>
    <t>Project fee</t>
  </si>
  <si>
    <t>-Total in-cash</t>
  </si>
  <si>
    <t>Total funding</t>
  </si>
  <si>
    <t>Total project budget</t>
  </si>
  <si>
    <t>Total requested NWO budget</t>
  </si>
  <si>
    <t>Total via NWO (for tranches)</t>
  </si>
  <si>
    <t>Cofunding per organisation type (excl TKI/PPS-allowance)</t>
  </si>
  <si>
    <t>Type of funding</t>
  </si>
  <si>
    <t>No organisation type given</t>
  </si>
  <si>
    <t>Organisation type applicable</t>
  </si>
  <si>
    <t>Organisation type not specified.</t>
  </si>
  <si>
    <t>per individual budget post</t>
  </si>
  <si>
    <t>Research leave - max perc of NWO funding</t>
  </si>
  <si>
    <t>Min amount KU, % of NWO contribution</t>
  </si>
  <si>
    <t>Max amount KU, % of NWO contribution</t>
  </si>
  <si>
    <t>Hourly rate too high</t>
  </si>
  <si>
    <t>Pers other inst - no category selected</t>
  </si>
  <si>
    <t>No personnel category is selected.</t>
  </si>
  <si>
    <t>Pers other inst - hourly rate too high</t>
  </si>
  <si>
    <t>Min (equiv.) duration PhD [months]</t>
  </si>
  <si>
    <t>Min (equiv.) duration 3-year PhD [months]</t>
  </si>
  <si>
    <t>Max (equiv.) duration PD [months]</t>
  </si>
  <si>
    <t>Max (equiv.) duration PDEng [months]</t>
  </si>
  <si>
    <t>Research Leave - amount</t>
  </si>
  <si>
    <t>Costs specified</t>
  </si>
  <si>
    <t>Personnel ac - costs specified, but not relevant</t>
  </si>
  <si>
    <t>Costs are specified, but default rates apply.</t>
  </si>
  <si>
    <t>Minimal threshold NWO funding above which Proj Mngmt may be requested</t>
  </si>
  <si>
    <t>Material - amount too high</t>
  </si>
  <si>
    <t>Investments - contribution KI too low (indiv budget posts)</t>
  </si>
  <si>
    <t>Investments - budget too low</t>
  </si>
  <si>
    <t>Remarks</t>
  </si>
  <si>
    <t>Name organisation</t>
  </si>
  <si>
    <t>Name org</t>
  </si>
  <si>
    <t>€/benchfee</t>
  </si>
  <si>
    <t>Combined notes per position - other institutes (2017 table)</t>
  </si>
  <si>
    <t>Combined notes per position - other institutes (2021 table)</t>
  </si>
  <si>
    <t>Pers other inst 2021 - no description provided</t>
  </si>
  <si>
    <t>No description provided.</t>
  </si>
  <si>
    <t xml:space="preserve">    </t>
  </si>
  <si>
    <t>Unit price or hourly rate</t>
  </si>
  <si>
    <t>Nr of units or Nr of hours</t>
  </si>
  <si>
    <t>Instruction</t>
  </si>
  <si>
    <t>Organisation name applicable</t>
  </si>
  <si>
    <t>Combined notes cofunding</t>
  </si>
  <si>
    <t>too less - no threshold</t>
  </si>
  <si>
    <t>too less - incl threshold</t>
  </si>
  <si>
    <t>too much</t>
  </si>
  <si>
    <t>private part too low</t>
  </si>
  <si>
    <t>per position</t>
  </si>
  <si>
    <t>Nr of persons cannot be determined based on FTE</t>
  </si>
  <si>
    <t>pers other inst - too many hours for 1 year (exc 1 FTE)</t>
  </si>
  <si>
    <t>Required resources per organisation type (excl. investments by inst.)</t>
  </si>
  <si>
    <t>Name organisation not specified.</t>
  </si>
  <si>
    <t>No costs provided</t>
  </si>
  <si>
    <t>Specify costs for this position.</t>
  </si>
  <si>
    <t>No costs given</t>
  </si>
  <si>
    <t>No organisation name given</t>
  </si>
  <si>
    <t>Investments small - amount too high</t>
  </si>
  <si>
    <t>Investments large - amount too high</t>
  </si>
  <si>
    <t>Nr of months not provided.</t>
  </si>
  <si>
    <t>Pers other inst - months not given</t>
  </si>
  <si>
    <t>No File number provided</t>
  </si>
  <si>
    <t>Project title not provided</t>
  </si>
  <si>
    <t>Project title is not provided.</t>
  </si>
  <si>
    <t>File number is not provided.</t>
  </si>
  <si>
    <t>Start date not provided</t>
  </si>
  <si>
    <t>End date not provided</t>
  </si>
  <si>
    <t>Combined notes start/end date</t>
  </si>
  <si>
    <t>Start date not provided.</t>
  </si>
  <si>
    <t>End date not provided.</t>
  </si>
  <si>
    <t>Empty lines</t>
  </si>
  <si>
    <t>Empty row</t>
  </si>
  <si>
    <t>Allow empty lines in between budget posts</t>
  </si>
  <si>
    <t>Empty line</t>
  </si>
  <si>
    <t>Combined notes in-kind cofunding</t>
  </si>
  <si>
    <t>No type co-funding</t>
  </si>
  <si>
    <t>In-kind - type of co-funding not specified</t>
  </si>
  <si>
    <t>Default hourly rates apply for in-kind?</t>
  </si>
  <si>
    <t>In-kind - type of rate not specified</t>
  </si>
  <si>
    <t>Exceeding rate</t>
  </si>
  <si>
    <t>Type rate given</t>
  </si>
  <si>
    <t>In-kind - Rate type not applicable</t>
  </si>
  <si>
    <t>Type rate specified, but not applicable for materials.</t>
  </si>
  <si>
    <t>Total Knowledge Utilisation</t>
  </si>
  <si>
    <t>Provide 1 position per row.</t>
  </si>
  <si>
    <t>Max (equiv) duration PhD [months]</t>
  </si>
  <si>
    <t>PhD duration too small</t>
  </si>
  <si>
    <t>PhD too long</t>
  </si>
  <si>
    <t>Threshold amount investments for investment nature</t>
  </si>
  <si>
    <r>
      <t xml:space="preserve">Max NWO funding - </t>
    </r>
    <r>
      <rPr>
        <b/>
        <sz val="11"/>
        <color theme="1"/>
        <rFont val="Calibri"/>
        <family val="2"/>
        <scheme val="minor"/>
      </rPr>
      <t>without</t>
    </r>
    <r>
      <rPr>
        <sz val="11"/>
        <color theme="1"/>
        <rFont val="Calibri"/>
        <family val="2"/>
        <scheme val="minor"/>
      </rPr>
      <t xml:space="preserve"> investment nature</t>
    </r>
  </si>
  <si>
    <r>
      <t xml:space="preserve">Max NWO funding - </t>
    </r>
    <r>
      <rPr>
        <b/>
        <sz val="11"/>
        <color theme="1"/>
        <rFont val="Calibri"/>
        <family val="2"/>
        <scheme val="minor"/>
      </rPr>
      <t>with</t>
    </r>
    <r>
      <rPr>
        <sz val="11"/>
        <color theme="1"/>
        <rFont val="Calibri"/>
        <family val="2"/>
        <scheme val="minor"/>
      </rPr>
      <t xml:space="preserve"> investment nature</t>
    </r>
  </si>
  <si>
    <t>Finance Summary</t>
  </si>
  <si>
    <t>Association Private</t>
  </si>
  <si>
    <t>Association Public</t>
  </si>
  <si>
    <t>Foundation Private</t>
  </si>
  <si>
    <t>Foundation Public</t>
  </si>
  <si>
    <t>Healthcare organisation Private</t>
  </si>
  <si>
    <t>Healthcare organisation Public</t>
  </si>
  <si>
    <t>Other private</t>
  </si>
  <si>
    <t>Other public</t>
  </si>
  <si>
    <t>PD min FTE</t>
  </si>
  <si>
    <t>Min duration PD [months]</t>
  </si>
  <si>
    <t>Min FTE PD [FTE]</t>
  </si>
  <si>
    <t>max nr positions</t>
  </si>
  <si>
    <t>max perc subsidy</t>
  </si>
  <si>
    <t>Nr of positions &gt; max</t>
  </si>
  <si>
    <t>The requested nr of this type of position exceeds the maximum.</t>
  </si>
  <si>
    <t>Personnel - % of positions too high</t>
  </si>
  <si>
    <t>The requested amount for this type of position exceeds the max percentage.</t>
  </si>
  <si>
    <t>type institute - org main applicant:</t>
  </si>
  <si>
    <t>type institute - academic:</t>
  </si>
  <si>
    <t>list type institute - other institutes:</t>
  </si>
  <si>
    <t>list type institute - combined:</t>
  </si>
  <si>
    <t>Min nr positions personnel abroad</t>
  </si>
  <si>
    <t>Max nr positions personnel abroad</t>
  </si>
  <si>
    <t>Min amount personnel abroad</t>
  </si>
  <si>
    <t>Max amount personnel abroad</t>
  </si>
  <si>
    <t xml:space="preserve">Min perc NWO funding personnel abroad </t>
  </si>
  <si>
    <t xml:space="preserve">Max perc NWO funding personnel abroad </t>
  </si>
  <si>
    <t>Personnel abroad - not enough nr of positions</t>
  </si>
  <si>
    <t>Personnel abroad - too many positions</t>
  </si>
  <si>
    <t>Personnel abroad - amount (€) too low</t>
  </si>
  <si>
    <t>Personnel abroad - amount (€) too high</t>
  </si>
  <si>
    <t>Personnel abroad - amount (%) too low</t>
  </si>
  <si>
    <t>Personnel abroad - amount (%) too high</t>
  </si>
  <si>
    <t>Amount not specified</t>
  </si>
  <si>
    <t>Personnel abroad - no amount provided</t>
  </si>
  <si>
    <t>Please provide an amount for this position.</t>
  </si>
  <si>
    <t>Organisation abroad</t>
  </si>
  <si>
    <t>Item list name to indicate personnel abroad</t>
  </si>
  <si>
    <t>Check eligibility for bench fee</t>
  </si>
  <si>
    <t>Position</t>
  </si>
  <si>
    <t>organisation type</t>
  </si>
  <si>
    <t>eligible?</t>
  </si>
  <si>
    <t>EngD position can only be requested if also PhD or PD position is requested.</t>
  </si>
  <si>
    <t>EngD duration</t>
  </si>
  <si>
    <t>EngD combination with PhD/PD</t>
  </si>
  <si>
    <t>Instruction international</t>
  </si>
  <si>
    <t>Provide FTE and months.</t>
  </si>
  <si>
    <t>UNL - Non-scientific personnel (MBO)</t>
  </si>
  <si>
    <t>UNL - Non-scientific personnel (HBO)</t>
  </si>
  <si>
    <t>UNL - Non-scientific personnel (WO)</t>
  </si>
  <si>
    <t>Knowledge Utilisation</t>
  </si>
  <si>
    <t>Total knowledge utilisation:</t>
  </si>
  <si>
    <t>Material - too high % for organisation abroad</t>
  </si>
  <si>
    <t>Max % of KU for organisations abroad</t>
  </si>
  <si>
    <t>pers abroad: min nr of positions</t>
  </si>
  <si>
    <t>te checken</t>
  </si>
  <si>
    <t>Benchfee only for PhD, PD, ENgD, (physician) researcher</t>
  </si>
  <si>
    <t>pers abroad: max nr of positions</t>
  </si>
  <si>
    <t>pers abroad: amount too low</t>
  </si>
  <si>
    <t>pers abroad: amount too high</t>
  </si>
  <si>
    <t>pers abroad: perc too low</t>
  </si>
  <si>
    <t>pers abroad: perc too high</t>
  </si>
  <si>
    <t>Organisation type not specified</t>
  </si>
  <si>
    <t>Organisation name not specified</t>
  </si>
  <si>
    <t>Salary table UNL/NFU</t>
  </si>
  <si>
    <t>Maximum allowed requested amount for materials</t>
  </si>
  <si>
    <t>Combined notes Materials</t>
  </si>
  <si>
    <t>Material - no amount provided</t>
  </si>
  <si>
    <t>Please provide an amount for this budget post.</t>
  </si>
  <si>
    <t>Org abroad - % too high</t>
  </si>
  <si>
    <t>Max % wrt personnel</t>
  </si>
  <si>
    <t>Material - too high % relative to personnel costs</t>
  </si>
  <si>
    <t>Too high amount</t>
  </si>
  <si>
    <t>Too high % wrt personnel</t>
  </si>
  <si>
    <t>KU - too high % for organisation abroad</t>
  </si>
  <si>
    <t>Combined notes Knowledge Utilisation</t>
  </si>
  <si>
    <t>% of NWO budget too low</t>
  </si>
  <si>
    <t>KU - Total % too low</t>
  </si>
  <si>
    <t>KU - Total % too high</t>
  </si>
  <si>
    <t>% of NWO budget too high</t>
  </si>
  <si>
    <t>Amount not provided</t>
  </si>
  <si>
    <t>KU - amount not provided</t>
  </si>
  <si>
    <t>Personnel - PhD - appointment too short</t>
  </si>
  <si>
    <t>Personnel - PhD - appointment too long</t>
  </si>
  <si>
    <t>Personnel - Nr of positions too much</t>
  </si>
  <si>
    <t>Personnel - EngD - combination with PhD or Postdoc</t>
  </si>
  <si>
    <t>Personnel - EngD - too long</t>
  </si>
  <si>
    <t>Personnel - Postdoc - too short</t>
  </si>
  <si>
    <t>Personnel - Postdoc - FTE too low</t>
  </si>
  <si>
    <t>Personnel - Postdoc - too long</t>
  </si>
  <si>
    <t>Min (equiv) duration Physician researcher position [months]</t>
  </si>
  <si>
    <t>Max (equiv) duration Physician researcher position [months]</t>
  </si>
  <si>
    <t>Personnel - Physician researcher position- (equivalent) duration not long enough</t>
  </si>
  <si>
    <t>Personnel -Phyisician researcher position - (equivalent) duration too long</t>
  </si>
  <si>
    <t>Personnel - Research leave - total max amount exceeded</t>
  </si>
  <si>
    <t>Section CfP max tariffs personel other institutes.</t>
  </si>
  <si>
    <t>Scale 1</t>
  </si>
  <si>
    <t>Scale 2</t>
  </si>
  <si>
    <t>Scale 3</t>
  </si>
  <si>
    <t>Scale 4</t>
  </si>
  <si>
    <t>Scale 5</t>
  </si>
  <si>
    <t>Scale 6</t>
  </si>
  <si>
    <t>Scale 7</t>
  </si>
  <si>
    <t>Scale 8</t>
  </si>
  <si>
    <t>Scale 9</t>
  </si>
  <si>
    <t>Scale 10</t>
  </si>
  <si>
    <t>Scale 11</t>
  </si>
  <si>
    <t>Scale 12</t>
  </si>
  <si>
    <t>Scale 13</t>
  </si>
  <si>
    <t>Scale 14</t>
  </si>
  <si>
    <t>Scale 15</t>
  </si>
  <si>
    <t>Scale 16</t>
  </si>
  <si>
    <t>Scale 17</t>
  </si>
  <si>
    <t>Scale 18</t>
  </si>
  <si>
    <t>Assistant/associate/full prof</t>
  </si>
  <si>
    <t>Max amount too high</t>
  </si>
  <si>
    <t>Max perc too high</t>
  </si>
  <si>
    <t>Type organisation not provided</t>
  </si>
  <si>
    <t>Name organisation not provided</t>
  </si>
  <si>
    <t>Combined notes per position - fixed personnel (assistant, associate, full professor)</t>
  </si>
  <si>
    <t>Max % of NWO-budget for assistent/associate/full profs</t>
  </si>
  <si>
    <t>Personnel fixed - too high amount</t>
  </si>
  <si>
    <t>Personnel fixed - too high %</t>
  </si>
  <si>
    <t>Empty description</t>
  </si>
  <si>
    <t>Personnel fixed - missing description</t>
  </si>
  <si>
    <t>Please provide a description for this budget post.</t>
  </si>
  <si>
    <t>UNL:</t>
  </si>
  <si>
    <t>HOT-Table year:</t>
  </si>
  <si>
    <t>date UNL rates</t>
  </si>
  <si>
    <t>Max nr positions personnel other institution</t>
  </si>
  <si>
    <t>Max % of NWO-budget for personnel other institution</t>
  </si>
  <si>
    <t>Personnel other inst - too many positions</t>
  </si>
  <si>
    <t>Personnel other inst - % too high</t>
  </si>
  <si>
    <t>Phys-researcher min duration</t>
  </si>
  <si>
    <t>Phys-researcher max duration</t>
  </si>
  <si>
    <t>Private co-funding</t>
  </si>
  <si>
    <t>yes: column visible to specify organisation type</t>
  </si>
  <si>
    <t>yes: column visible to provide organisation name</t>
  </si>
  <si>
    <t>if no: warning appears in Budget sheet if any empty line</t>
  </si>
  <si>
    <t>Realised</t>
  </si>
  <si>
    <t>Work Package</t>
  </si>
  <si>
    <t>Remarks/Name researcher</t>
  </si>
  <si>
    <t>Change requests</t>
  </si>
  <si>
    <t>PD appointment</t>
  </si>
  <si>
    <t>knowledge institute</t>
  </si>
  <si>
    <t>Max % materials for organisations abroad</t>
  </si>
  <si>
    <t>0</t>
  </si>
  <si>
    <t>Amount personnel abroad per organisation above which an audit statement is required</t>
  </si>
  <si>
    <t>Personnel abroad - amount per organisation</t>
  </si>
  <si>
    <t>Total amount/org</t>
  </si>
  <si>
    <t>Personnel abroad - audit statement required</t>
  </si>
  <si>
    <t>pers abroad - audit statement</t>
  </si>
  <si>
    <t>Total investments:</t>
  </si>
  <si>
    <t>File number (filled in by NWO):</t>
  </si>
  <si>
    <t>Section 7</t>
  </si>
  <si>
    <t>Salary costs applicant</t>
  </si>
  <si>
    <t>Notes on budget format:
  - Only the blue-marked fields should be filled in;
   - Provide in-cash amounts without VAT;
   - In case you do not have to pay VAT because of own appointments,
     VAT cannot be included in the budget;
  - You may wish to consult the instruction manual on this budget form,
     which can be found on the website of this call.</t>
  </si>
  <si>
    <t>Applicant:</t>
  </si>
  <si>
    <t>Max amount for assistant/associate/full profs</t>
  </si>
  <si>
    <t>Provide FTE, months and costs.</t>
  </si>
  <si>
    <t>Organisation + description</t>
  </si>
  <si>
    <t>Covering excess costs by host institute</t>
  </si>
  <si>
    <t>Co-funding by third parties</t>
  </si>
  <si>
    <t>Total covering excess costs by host institute:</t>
  </si>
  <si>
    <t>Total project budget incl. co-funding and excess costs</t>
  </si>
  <si>
    <t>Total covering excess costs by host institute</t>
  </si>
  <si>
    <t>Kolom1</t>
  </si>
  <si>
    <r>
      <t xml:space="preserve">7.1.4    Knowledge utilisation
</t>
    </r>
    <r>
      <rPr>
        <sz val="10"/>
        <color indexed="8"/>
        <rFont val="Calibri"/>
        <family val="1"/>
        <charset val="204"/>
      </rPr>
      <t xml:space="preserve">The budget requested should be adequately specified in the proposal. To determine the rates, use the provisions of the budget modules Personnel and Material.
</t>
    </r>
    <r>
      <rPr>
        <sz val="14"/>
        <color indexed="21"/>
        <rFont val="Calibri Light"/>
        <family val="1"/>
        <charset val="204"/>
      </rPr>
      <t xml:space="preserve">
</t>
    </r>
    <r>
      <rPr>
        <sz val="10"/>
        <rFont val="Calibri"/>
        <family val="2"/>
        <scheme val="minor"/>
      </rPr>
      <t>It is possible to use up to 5% of the grant amount for this module. There is no obligation to use this module. Examples of possible costs, but not limited to, are the creation of a teaching curriculum, a feasibility study on application possibilities, costs for filing a patent application or engaging a business developer.</t>
    </r>
  </si>
  <si>
    <r>
      <rPr>
        <sz val="18"/>
        <color indexed="21"/>
        <rFont val="Calibri Light"/>
        <family val="1"/>
        <charset val="204"/>
      </rPr>
      <t xml:space="preserve">7.2   Indexing
</t>
    </r>
    <r>
      <rPr>
        <sz val="10"/>
        <color indexed="8"/>
        <rFont val="Calibri"/>
        <family val="1"/>
        <charset val="204"/>
      </rPr>
      <t>The rate at the time of the decision date applies. NWO will, if necessary, apply a one-off indexation of personnel costs when awarding the grant. The date on which the rates take effect is used for this purpose. If the date of publication of the fees is later than the effective date, the date of publication is used. The tariffs of the Universities of the Netherlands (UNL) usually take effect on 1 July, of the Dutch Federation of University Medical Centres (NFU) on 1 August and of the Government Tariffs Manual (HOT) on 1 January.
The one-off indexation does not affect the grant ceiling and the maximum grant amount to be applied for. The grant ceiling and maximum requestable grant amount remain unchanged.
If co-funding is required or permitted, the one-off indexation does not affect the requirements for own contributions and co-funding, nor the IP rights that may result from the co-funding.</t>
    </r>
  </si>
  <si>
    <t>NWO Talent Programme - Veni 2025</t>
  </si>
  <si>
    <r>
      <t xml:space="preserve">3.2.2    Material
</t>
    </r>
    <r>
      <rPr>
        <sz val="10"/>
        <rFont val="Calibri"/>
        <family val="2"/>
        <scheme val="minor"/>
      </rPr>
      <t>Funding may be requested for all project-specific material costs. These costs are subject to a maximum of 50% of the total NWO grant amount.1 Of the material budget requested from NWO, no more than 25% may be allocated to work carried out by third parties.</t>
    </r>
    <r>
      <rPr>
        <sz val="14"/>
        <color indexed="21"/>
        <rFont val="Calibri Light"/>
        <family val="1"/>
        <charset val="204"/>
      </rPr>
      <t xml:space="preserve">
3.2.3    Investments
</t>
    </r>
    <r>
      <rPr>
        <sz val="10"/>
        <color indexed="8"/>
        <rFont val="Calibri"/>
        <family val="1"/>
        <charset val="204"/>
      </rPr>
      <t xml:space="preserve">Funding may be requested for investments in equipment, infrastructure, and other research resources that retain economic value or can be reused after the completion of the project. Salary costs for personnel involved in preparing equipment, infrastructure, or other resources for operational use may be included as part of the investment. In such cases, the applicable personnel rates and conditions apply, and the costs must be itemized under Investments. Investments may only be made at research organizations listed in Section 3.1.
A maximum of €500,000 may be requested for investments.
</t>
    </r>
    <r>
      <rPr>
        <sz val="14"/>
        <color indexed="21"/>
        <rFont val="Calibri Light"/>
        <family val="1"/>
        <charset val="204"/>
      </rPr>
      <t xml:space="preserve">3.2.4    Knowledge utilisation
</t>
    </r>
    <r>
      <rPr>
        <sz val="10"/>
        <color indexed="8"/>
        <rFont val="Calibri"/>
        <family val="1"/>
        <charset val="204"/>
      </rPr>
      <t>Funding can be requested for activities that promote the use of knowledge from the research</t>
    </r>
    <r>
      <rPr>
        <b/>
        <sz val="10"/>
        <color indexed="21"/>
        <rFont val="Calibri"/>
        <family val="1"/>
        <charset val="204"/>
      </rPr>
      <t>1</t>
    </r>
    <r>
      <rPr>
        <sz val="10"/>
        <color indexed="8"/>
        <rFont val="Calibri"/>
        <family val="1"/>
        <charset val="204"/>
      </rPr>
      <t xml:space="preserve">, in order to increase the societal impact of the research.
</t>
    </r>
    <r>
      <rPr>
        <b/>
        <sz val="10"/>
        <color indexed="8"/>
        <rFont val="Calibri"/>
        <family val="1"/>
        <charset val="204"/>
      </rPr>
      <t xml:space="preserve">
Impact Outlook
</t>
    </r>
    <r>
      <rPr>
        <sz val="10"/>
        <color indexed="8"/>
        <rFont val="Calibri"/>
        <family val="1"/>
        <charset val="204"/>
      </rPr>
      <t>A maximum of 5% of the grant amount can be used for this module. It is not mandatory to make use of this module.</t>
    </r>
  </si>
  <si>
    <r>
      <t xml:space="preserve">7.1.2    Material
</t>
    </r>
    <r>
      <rPr>
        <sz val="10"/>
        <color indexed="8"/>
        <rFont val="Calibri"/>
        <family val="1"/>
        <charset val="204"/>
      </rPr>
      <t>Funding may be requested for all project-specific costs relating to, among others, consumables, purchase of services, materials, small instruments, access to (inter)national facilities, software and research resources that have no economic value after use. Travel and accommodation costs (national and international) for all people working on the project, including foreign guest researchers, costs for the organisation of (international) workshops and symposia, costs for data management, publications, and costs in the context of citizen science also fall under this module. Up to 25% of the material budget requested from NWO can be used for work by third parties (e.g. laboratory analyses, data collection, etc.).
Travel expenses (national and international) will only be reimbursed on the basis of second class/economy class fares. For publications, the provisions in Section 5.1.6 Open access apply. Costs for an audit statement can only be claimed for organisations that are not subject to OCW's education audit protocol for a maximum of €5,000 per audit statement.
It is not permitted to include costs for:
-    organisational infrastructure and overhead, including a fully functioning workplace, accommodation, office automation, personnel administration, commuting expenses, training, facilities, HR advice and business care, documentary information provision and home office allowance;
-    the use and maintenance of in-house developed scientific infrastructure;
-    regular teaching activities;
-    members of the advisory or user committee.
7.1.3    Investments
Funding may be requested for any project-specific resources for research or costs related to construction or further development of scientific infrastructure that retain economic value or can be reused after project completion. The beneficiary acquires ownership of these research resources on completion of the project. In case the beneficiary achieves profits from the beneficial ownership of the research funds, these profits must be invested in primary activities of the beneficiary as referred to in Article 3.1.4, paragraph 2 of the NWO Grant Rules. This includes the purchase of equipment with residual value for the performance of research and investments in the construction or (further) development of scientific infrastructure. Personnel costs as part of the investment can be recorded as personnel costs.
Investment costs should be adequately specified and justified in the proposal.
Eligible costs are:
-    costs for investments in scientific equipment;
-    costs for investments in datasets;
-    salary costs for personnel with essential technical expertise necessary for the development or construction of an investment.
Ineligible are:
-    costs for infrastructural facilities that can be considered part of the usual infrastructure full functioning workplace, accommodation, office automation, personnel administration, travel expenses commuting, training, facilities management, HR advice and business care, documentary information provision, home working allowance);
-    data collections and any related software and bibliographies already available in other ways;
-    other personnel costs, including personnel costs for operating and conducting research with the facility;
-    costs for maintenance and use of equipment on a project. Costs for the use of equipment on a
project can be requested through the material budget.</t>
    </r>
  </si>
  <si>
    <t>Host institute:</t>
  </si>
  <si>
    <r>
      <t xml:space="preserve">7.1.1    Personnel
Applicant Veni, Vidi or Vici
</t>
    </r>
    <r>
      <rPr>
        <sz val="10"/>
        <color indexed="8"/>
        <rFont val="Calibri"/>
        <family val="1"/>
        <charset val="204"/>
      </rPr>
      <t xml:space="preserve">For the salary costs of the applicant for the Veni, Vidi or Vici at a university in the Kingdom of the Netherlands, umc or research organisation as referred to in Article 1.1, first paragraph, of the NWO Grant Rules, the actual gross salary of the applicant and the surcharges a, b and c in Article 2.1 of the Approval of funding for scientific research apply, with the exception of indexation. It is only allowed to include salary costs for the part of the appointment spent on project-related tasks.
The surcharges are subject to the standard percentages from the Approval, in accordance with the UNL and UMCNL salary tables at the time of the decision date for:
</t>
    </r>
    <r>
      <rPr>
        <sz val="10"/>
        <color indexed="21"/>
        <rFont val="Symbol"/>
        <family val="1"/>
        <charset val="204"/>
      </rPr>
      <t></t>
    </r>
    <r>
      <rPr>
        <sz val="10"/>
        <color indexed="21"/>
        <rFont val="Times New Roman"/>
        <family val="1"/>
        <charset val="204"/>
      </rPr>
      <t xml:space="preserve">     </t>
    </r>
    <r>
      <rPr>
        <sz val="10"/>
        <color indexed="8"/>
        <rFont val="Calibri"/>
        <family val="1"/>
        <charset val="204"/>
      </rPr>
      <t xml:space="preserve">holiday allowance;
</t>
    </r>
    <r>
      <rPr>
        <sz val="10"/>
        <color indexed="21"/>
        <rFont val="Symbol"/>
        <family val="1"/>
        <charset val="204"/>
      </rPr>
      <t></t>
    </r>
    <r>
      <rPr>
        <sz val="10"/>
        <color indexed="21"/>
        <rFont val="Times New Roman"/>
        <family val="1"/>
        <charset val="204"/>
      </rPr>
      <t xml:space="preserve">     </t>
    </r>
    <r>
      <rPr>
        <sz val="10"/>
        <color indexed="8"/>
        <rFont val="Calibri"/>
        <family val="1"/>
        <charset val="204"/>
      </rPr>
      <t xml:space="preserve">end-of-year bonus;
</t>
    </r>
    <r>
      <rPr>
        <sz val="10"/>
        <color indexed="21"/>
        <rFont val="Symbol"/>
        <family val="1"/>
        <charset val="204"/>
      </rPr>
      <t></t>
    </r>
    <r>
      <rPr>
        <sz val="10"/>
        <color indexed="21"/>
        <rFont val="Times New Roman"/>
        <family val="1"/>
        <charset val="204"/>
      </rPr>
      <t xml:space="preserve">     </t>
    </r>
    <r>
      <rPr>
        <sz val="10"/>
        <color indexed="8"/>
        <rFont val="Calibri"/>
        <family val="1"/>
        <charset val="204"/>
      </rPr>
      <t xml:space="preserve">Compensation supplement/VALK (employer's surcharge);
</t>
    </r>
    <r>
      <rPr>
        <sz val="10"/>
        <color indexed="21"/>
        <rFont val="Symbol"/>
        <family val="1"/>
        <charset val="204"/>
      </rPr>
      <t></t>
    </r>
    <r>
      <rPr>
        <sz val="10"/>
        <color indexed="21"/>
        <rFont val="Times New Roman"/>
        <family val="1"/>
        <charset val="204"/>
      </rPr>
      <t xml:space="preserve">     </t>
    </r>
    <r>
      <rPr>
        <sz val="10"/>
        <color indexed="8"/>
        <rFont val="Calibri"/>
        <family val="1"/>
        <charset val="204"/>
      </rPr>
      <t xml:space="preserve">supplement (incl. transitional allowance).
For subsequent years, it is possible to take into account the expected periodic increases and other salary increases insofar as these are expected under the applicable collective agreement.
For applicants of the Veni, Vidi or Vici, no personal benchfee is available.
If funding is applied for other personnel, the rates listed for the relevant personnel apply.
</t>
    </r>
    <r>
      <rPr>
        <sz val="14"/>
        <color indexed="21"/>
        <rFont val="Calibri Light"/>
        <family val="1"/>
        <charset val="204"/>
      </rPr>
      <t xml:space="preserve">
Additional personnel 
Non-scientific personnel
</t>
    </r>
    <r>
      <rPr>
        <sz val="10"/>
        <rFont val="Calibri"/>
        <family val="2"/>
        <scheme val="minor"/>
      </rPr>
      <t xml:space="preserve">Funding may be requested for non-scientific personnel (NWP) needed to execute the project. These may include, for example, programmers, technical assistants, analysts or project leaders. The use of NWP must be described in the proposal.
The duration of the appointment cannot be longer than the duration of the project funded by NWO. Depending on the job level, a choice is made from the UNL or UMCNL salary tables for NWP-mbo, NWP-hbo and NWP-academic. No one-off personal benchfee is available for NWP.
</t>
    </r>
    <r>
      <rPr>
        <sz val="14"/>
        <color indexed="21"/>
        <rFont val="Calibri Light"/>
        <family val="1"/>
        <charset val="204"/>
      </rPr>
      <t xml:space="preserve">
Students
</t>
    </r>
    <r>
      <rPr>
        <sz val="10"/>
        <rFont val="Calibri"/>
        <family val="2"/>
        <scheme val="minor"/>
      </rPr>
      <t>Students may be engaged in research. If the students contribute as part of their curriculum, the rate according to the usual internship fee of the university or universities of applied sciences applies. If students contribute as a secondary job alongside their studies as student assistants, the rate according to HOT table 2, under 2.2 'average total salary cost per salary scale', column 'Hourly rate productive hours, excluding VAT', scale 1 applies.</t>
    </r>
  </si>
  <si>
    <t>UMCNL  - Non-scientific personnel (MBO)</t>
  </si>
  <si>
    <t>UMCNL  - Non-scientific personnel (HBO)</t>
  </si>
  <si>
    <t>UMCNL  - Non-scientific personnel (WO)</t>
  </si>
  <si>
    <t>Personnel - FTE applicant too low</t>
  </si>
  <si>
    <t>At least 0.4 FTE should be spent on the Veni.</t>
  </si>
  <si>
    <t>Appl - FTE too low</t>
  </si>
  <si>
    <t>Applicant - FTE too high</t>
  </si>
  <si>
    <t>Personnel - FTE too high</t>
  </si>
  <si>
    <r>
      <t xml:space="preserve">3.2   What can be applied for
</t>
    </r>
    <r>
      <rPr>
        <sz val="10"/>
        <color indexed="8"/>
        <rFont val="Calibri"/>
        <family val="1"/>
        <charset val="204"/>
      </rPr>
      <t xml:space="preserve">Per project, a grant amount of at most € 320.000 can be applied for. The proposed project may have a maximum duration of three years. In the case of part-time research, the project duration may be extended proportionally to the actual time commitment, up to a maximum of four years. If the proposed project has a duration of less than three years, the maximum budget will be reduced proportionally. It is also possible to carry out the project on a part-time basis without extending its overall duration. Part-time appointments of less than 0.4 FTE are not permitted. The applicant may include costs for personnel, equipment, investments and knowledge utilisation. The available budget modules (including the maximum amounts) are listed below. Apply only for funding that is vital to realise the project. The rates and an explanation of these budget modules are given in annex 7 of the call for proposals.
</t>
    </r>
    <r>
      <rPr>
        <sz val="14"/>
        <color indexed="21"/>
        <rFont val="Calibri Light"/>
        <family val="1"/>
        <charset val="204"/>
      </rPr>
      <t xml:space="preserve">3.2.1    Personnel
</t>
    </r>
    <r>
      <rPr>
        <sz val="10"/>
        <rFont val="Calibri"/>
        <family val="2"/>
        <scheme val="minor"/>
      </rPr>
      <t xml:space="preserve">For personnel contributing to the project, funding may be requested to cover salary costs. The applicable amount depends on the type of appointment and the organization employing the personnel.
The total appointment size (in FTE) of non-academic staff and students may not exceed the size of the applicant's own appointment under the Veni grant. If multiple non-academic staff members and/or students are appointed, their combined appointment may likewise not exceed the applicant's own appointment.
</t>
    </r>
    <r>
      <rPr>
        <sz val="10"/>
        <color indexed="8"/>
        <rFont val="Calibri"/>
        <family val="1"/>
        <charset val="204"/>
      </rPr>
      <t xml:space="preserve">
</t>
    </r>
    <r>
      <rPr>
        <sz val="10"/>
        <color indexed="21"/>
        <rFont val="Calibri Light"/>
        <family val="1"/>
        <charset val="204"/>
      </rPr>
      <t xml:space="preserve">3.2.1.1   Personnel at a university in the Kingdom of the Netherlands, umc or a research organisation
</t>
    </r>
    <r>
      <rPr>
        <i/>
        <sz val="10"/>
        <color indexed="21"/>
        <rFont val="Calibri Light"/>
        <family val="1"/>
        <charset val="204"/>
      </rPr>
      <t xml:space="preserve">3.2.1.1..1     Salary costs of the applicant
</t>
    </r>
    <r>
      <rPr>
        <sz val="10"/>
        <color indexed="8"/>
        <rFont val="Calibri"/>
        <family val="1"/>
        <charset val="204"/>
      </rPr>
      <t xml:space="preserve">You can declare salary costs of the Veni applicant for the part of the appointment that is spent on project-related tasks.
</t>
    </r>
    <r>
      <rPr>
        <i/>
        <sz val="10"/>
        <color indexed="21"/>
        <rFont val="Calibri Light"/>
        <family val="1"/>
        <charset val="204"/>
      </rPr>
      <t xml:space="preserve">3.2.1.1..2     Additional personnel
</t>
    </r>
    <r>
      <rPr>
        <sz val="10"/>
        <color indexed="8"/>
        <rFont val="Calibri"/>
        <family val="1"/>
        <charset val="204"/>
      </rPr>
      <t xml:space="preserve">For personnel working at a university in the Kingdom of the Netherlands, university medical centre (umc) or another research organisation, as referred to in Article 1.1, first paragraph, subparagraphs c to h of the NWO Grant Rules, salary costs can be claimed for the following positions: non-scientific personnel (NWP). There is no minimum appointment size for non-academic personnel; the appointment may be arranged at the applicant's discretion but may not exceed the size of the applicant's own appointment under the Veni grant.
</t>
    </r>
    <r>
      <rPr>
        <sz val="10"/>
        <color indexed="21"/>
        <rFont val="Calibri Light"/>
        <family val="1"/>
        <charset val="204"/>
      </rPr>
      <t xml:space="preserve">
3.2.1.2   Students
</t>
    </r>
    <r>
      <rPr>
        <sz val="10"/>
        <color indexed="8"/>
        <rFont val="Calibri"/>
        <family val="1"/>
        <charset val="204"/>
      </rPr>
      <t xml:space="preserve">It is possible to engage students in the project if they are studying at a research organisation as referred to in Section 3.1. You can enter the costs of this as material costs within the project. There is no maximum on the number of students who can participate in the project.
</t>
    </r>
    <r>
      <rPr>
        <sz val="14"/>
        <color indexed="21"/>
        <rFont val="Calibri Light"/>
        <family val="1"/>
        <charset val="204"/>
      </rPr>
      <t xml:space="preserve">
</t>
    </r>
  </si>
  <si>
    <t>For 37 months or more, FTE should be less than 1 FTE.</t>
  </si>
  <si>
    <t>Additional funding</t>
  </si>
  <si>
    <t>Yes</t>
  </si>
  <si>
    <t>No</t>
  </si>
  <si>
    <t>Additional (applications for) funding for overlapping project(s)</t>
  </si>
  <si>
    <t>Are you applying for, have you applied for, or have you obtained any additional funding for this project either from NWO or from any other institution, and/or has the same idea been submitted elsewhere?</t>
  </si>
  <si>
    <t>Yes/No</t>
  </si>
  <si>
    <t>If yes, please provide details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</si>
</sst>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164" formatCode="&quot;€&quot;\ #,##0.00"/>
    <numFmt numFmtId="165" formatCode="&quot;€&quot;\ #,##0"/>
    <numFmt numFmtId="166" formatCode="0.0%"/>
    <numFmt numFmtId="167" formatCode="[$-413]d/mmm/yyyy;@"/>
    <numFmt numFmtId="168" formatCode="\ "/>
    <numFmt numFmtId="169" formatCode="0;\-0;;@"/>
  </numFmts>
  <fonts count="38"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sz val="10"/>
      <color rgb="FFFF0000"/>
      <name val="Calibri"/>
      <family val="2"/>
      <scheme val="minor"/>
    </font>
    <font>
      <i/>
      <u/>
      <sz val="10"/>
      <color theme="10"/>
      <name val="Calibri"/>
      <family val="2"/>
      <scheme val="minor"/>
    </font>
    <font>
      <b/>
      <sz val="18"/>
      <color theme="1"/>
      <name val="Calibri"/>
      <family val="2"/>
      <scheme val="minor"/>
    </font>
    <font>
      <b/>
      <sz val="12"/>
      <color theme="1"/>
      <name val="Calibri"/>
      <family val="2"/>
      <scheme val="minor"/>
    </font>
    <font>
      <sz val="11"/>
      <color rgb="FF000000"/>
      <name val="Calibri"/>
      <family val="2"/>
      <scheme val="minor"/>
    </font>
    <font>
      <i/>
      <sz val="10"/>
      <color rgb="FFFF0000"/>
      <name val="Calibri"/>
      <family val="2"/>
      <scheme val="minor"/>
    </font>
    <font>
      <b/>
      <sz val="11"/>
      <color theme="0"/>
      <name val="Calibri"/>
      <family val="2"/>
      <scheme val="minor"/>
    </font>
    <font>
      <sz val="10"/>
      <color theme="1"/>
      <name val="Calibri"/>
      <family val="2"/>
      <scheme val="minor"/>
    </font>
    <font>
      <b/>
      <sz val="14"/>
      <color theme="1"/>
      <name val="Calibri"/>
      <family val="2"/>
      <scheme val="minor"/>
    </font>
    <font>
      <b/>
      <sz val="10"/>
      <color rgb="FFFF0000"/>
      <name val="Calibri"/>
      <family val="2"/>
      <scheme val="minor"/>
    </font>
    <font>
      <i/>
      <sz val="11"/>
      <color theme="1"/>
      <name val="Calibri"/>
      <family val="2"/>
      <scheme val="minor"/>
    </font>
    <font>
      <sz val="11"/>
      <color rgb="FF013568"/>
      <name val="Calibri"/>
      <family val="2"/>
      <scheme val="minor"/>
    </font>
    <font>
      <sz val="12"/>
      <color theme="1"/>
      <name val="Calibri"/>
      <family val="2"/>
      <scheme val="minor"/>
    </font>
    <font>
      <b/>
      <i/>
      <sz val="10"/>
      <color theme="1"/>
      <name val="Calibri"/>
      <family val="2"/>
      <scheme val="minor"/>
    </font>
    <font>
      <sz val="10"/>
      <color theme="1"/>
      <name val="Calibri"/>
      <family val="2"/>
    </font>
    <font>
      <sz val="12"/>
      <color rgb="FFFF0000"/>
      <name val="Calibri"/>
      <family val="2"/>
      <scheme val="minor"/>
    </font>
    <font>
      <sz val="10"/>
      <name val="Calibri"/>
      <family val="2"/>
      <scheme val="minor"/>
    </font>
    <font>
      <sz val="8"/>
      <name val="Calibri"/>
      <family val="2"/>
      <scheme val="minor"/>
    </font>
    <font>
      <sz val="11"/>
      <color theme="1"/>
      <name val="Calibri"/>
      <family val="2"/>
      <scheme val="minor"/>
    </font>
    <font>
      <i/>
      <sz val="9"/>
      <color theme="1"/>
      <name val="Calibri"/>
      <family val="2"/>
      <scheme val="minor"/>
    </font>
    <font>
      <sz val="10"/>
      <color indexed="8"/>
      <name val="Calibri"/>
      <family val="1"/>
      <charset val="204"/>
    </font>
    <font>
      <sz val="14"/>
      <color indexed="21"/>
      <name val="Calibri Light"/>
      <family val="1"/>
      <charset val="204"/>
    </font>
    <font>
      <sz val="10"/>
      <color indexed="21"/>
      <name val="Calibri Light"/>
      <family val="1"/>
      <charset val="204"/>
    </font>
    <font>
      <i/>
      <sz val="10"/>
      <color indexed="21"/>
      <name val="Calibri Light"/>
      <family val="1"/>
      <charset val="204"/>
    </font>
    <font>
      <sz val="18"/>
      <color indexed="21"/>
      <name val="Calibri Light"/>
      <family val="1"/>
      <charset val="204"/>
    </font>
    <font>
      <b/>
      <sz val="10"/>
      <color indexed="21"/>
      <name val="Calibri"/>
      <family val="1"/>
      <charset val="204"/>
    </font>
    <font>
      <b/>
      <sz val="10"/>
      <color indexed="8"/>
      <name val="Calibri"/>
      <family val="1"/>
      <charset val="204"/>
    </font>
    <font>
      <sz val="10"/>
      <color indexed="21"/>
      <name val="Symbol"/>
      <family val="1"/>
      <charset val="204"/>
    </font>
    <font>
      <sz val="10"/>
      <color indexed="21"/>
      <name val="Times New Roman"/>
      <family val="1"/>
      <charset val="204"/>
    </font>
    <font>
      <sz val="10"/>
      <color rgb="FF000000"/>
      <name val="Aptos Narrow"/>
      <family val="2"/>
    </font>
    <font>
      <sz val="9.5"/>
      <color theme="1"/>
      <name val="Calibri"/>
      <family val="2"/>
      <scheme val="minor"/>
    </font>
  </fonts>
  <fills count="16">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rgb="FFCBDEDF"/>
        <bgColor indexed="64"/>
      </patternFill>
    </fill>
    <fill>
      <patternFill patternType="solid">
        <fgColor theme="0"/>
        <bgColor indexed="64"/>
      </patternFill>
    </fill>
    <fill>
      <patternFill patternType="solid">
        <fgColor theme="4"/>
        <bgColor theme="4"/>
      </patternFill>
    </fill>
    <fill>
      <patternFill patternType="solid">
        <fgColor indexed="65"/>
        <bgColor indexed="64"/>
      </patternFill>
    </fill>
    <fill>
      <patternFill patternType="solid">
        <fgColor rgb="FFFFE699"/>
        <bgColor indexed="64"/>
      </patternFill>
    </fill>
    <fill>
      <patternFill patternType="solid">
        <fgColor theme="8" tint="0.79998168889431442"/>
        <bgColor indexed="65"/>
      </patternFill>
    </fill>
    <fill>
      <patternFill patternType="solid">
        <fgColor theme="4" tint="0.79998168889431442"/>
        <bgColor theme="4" tint="0.79998168889431442"/>
      </patternFill>
    </fill>
    <fill>
      <patternFill patternType="solid">
        <fgColor rgb="FFFFFFFF"/>
        <bgColor indexed="64"/>
      </patternFill>
    </fill>
    <fill>
      <patternFill patternType="solid">
        <fgColor rgb="FFCADEDF"/>
        <bgColor indexed="64"/>
      </patternFill>
    </fill>
    <fill>
      <patternFill patternType="solid">
        <fgColor rgb="FFCBDFDE"/>
        <bgColor indexed="64"/>
      </patternFill>
    </fill>
    <fill>
      <patternFill patternType="solid">
        <fgColor rgb="FFC0E6F5"/>
        <bgColor rgb="FFC0E6F5"/>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hair">
        <color indexed="64"/>
      </bottom>
      <diagonal/>
    </border>
    <border>
      <left style="thin">
        <color auto="1"/>
      </left>
      <right/>
      <top style="thin">
        <color indexed="64"/>
      </top>
      <bottom style="hair">
        <color auto="1"/>
      </bottom>
      <diagonal/>
    </border>
    <border>
      <left style="thin">
        <color auto="1"/>
      </left>
      <right/>
      <top style="hair">
        <color auto="1"/>
      </top>
      <bottom style="hair">
        <color auto="1"/>
      </bottom>
      <diagonal/>
    </border>
    <border>
      <left style="hair">
        <color indexed="64"/>
      </left>
      <right style="hair">
        <color indexed="64"/>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top style="hair">
        <color auto="1"/>
      </top>
      <bottom style="hair">
        <color auto="1"/>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auto="1"/>
      </right>
      <top style="thin">
        <color auto="1"/>
      </top>
      <bottom style="hair">
        <color auto="1"/>
      </bottom>
      <diagonal/>
    </border>
    <border>
      <left style="medium">
        <color indexed="64"/>
      </left>
      <right/>
      <top style="thin">
        <color theme="4" tint="0.39997558519241921"/>
      </top>
      <bottom/>
      <diagonal/>
    </border>
    <border>
      <left style="thin">
        <color theme="4" tint="0.39997558519241921"/>
      </left>
      <right/>
      <top/>
      <bottom/>
      <diagonal/>
    </border>
    <border>
      <left style="thin">
        <color auto="1"/>
      </left>
      <right style="thin">
        <color indexed="64"/>
      </right>
      <top style="hair">
        <color auto="1"/>
      </top>
      <bottom style="hair">
        <color auto="1"/>
      </bottom>
      <diagonal/>
    </border>
    <border>
      <left style="thin">
        <color auto="1"/>
      </left>
      <right style="thin">
        <color auto="1"/>
      </right>
      <top style="thin">
        <color indexed="64"/>
      </top>
      <bottom style="hair">
        <color auto="1"/>
      </bottom>
      <diagonal/>
    </border>
    <border>
      <left style="hair">
        <color indexed="64"/>
      </left>
      <right style="hair">
        <color indexed="64"/>
      </right>
      <top/>
      <bottom style="hair">
        <color indexed="64"/>
      </bottom>
      <diagonal/>
    </border>
    <border>
      <left style="thin">
        <color auto="1"/>
      </left>
      <right style="hair">
        <color auto="1"/>
      </right>
      <top/>
      <bottom style="hair">
        <color auto="1"/>
      </bottom>
      <diagonal/>
    </border>
    <border>
      <left/>
      <right/>
      <top/>
      <bottom style="hair">
        <color indexed="64"/>
      </bottom>
      <diagonal/>
    </border>
    <border>
      <left/>
      <right style="hair">
        <color auto="1"/>
      </right>
      <top/>
      <bottom style="hair">
        <color auto="1"/>
      </bottom>
      <diagonal/>
    </border>
    <border>
      <left style="hair">
        <color indexed="64"/>
      </left>
      <right/>
      <top/>
      <bottom style="hair">
        <color indexed="64"/>
      </bottom>
      <diagonal/>
    </border>
    <border>
      <left/>
      <right style="medium">
        <color indexed="64"/>
      </right>
      <top/>
      <bottom/>
      <diagonal/>
    </border>
    <border>
      <left style="thin">
        <color auto="1"/>
      </left>
      <right style="thin">
        <color indexed="64"/>
      </right>
      <top/>
      <bottom/>
      <diagonal/>
    </border>
    <border>
      <left style="medium">
        <color indexed="64"/>
      </left>
      <right/>
      <top/>
      <bottom/>
      <diagonal/>
    </border>
    <border>
      <left style="thin">
        <color indexed="64"/>
      </left>
      <right style="thin">
        <color indexed="64"/>
      </right>
      <top style="medium">
        <color indexed="64"/>
      </top>
      <bottom style="hair">
        <color indexed="64"/>
      </bottom>
      <diagonal/>
    </border>
    <border>
      <left style="thin">
        <color auto="1"/>
      </left>
      <right style="thin">
        <color auto="1"/>
      </right>
      <top/>
      <bottom style="thin">
        <color auto="1"/>
      </bottom>
      <diagonal/>
    </border>
    <border>
      <left/>
      <right/>
      <top/>
      <bottom style="thin">
        <color theme="4" tint="0.39997558519241921"/>
      </bottom>
      <diagonal/>
    </border>
    <border>
      <left/>
      <right style="thin">
        <color indexed="64"/>
      </right>
      <top/>
      <bottom style="thin">
        <color auto="1"/>
      </bottom>
      <diagonal/>
    </border>
    <border>
      <left/>
      <right/>
      <top style="thin">
        <color theme="4" tint="0.39997558519241921"/>
      </top>
      <bottom style="thin">
        <color theme="4" tint="0.39997558519241921"/>
      </bottom>
      <diagonal/>
    </border>
    <border>
      <left style="thin">
        <color auto="1"/>
      </left>
      <right style="thin">
        <color auto="1"/>
      </right>
      <top/>
      <bottom style="hair">
        <color auto="1"/>
      </bottom>
      <diagonal/>
    </border>
    <border>
      <left style="hair">
        <color auto="1"/>
      </left>
      <right/>
      <top/>
      <bottom/>
      <diagonal/>
    </border>
    <border>
      <left style="hair">
        <color auto="1"/>
      </left>
      <right style="thin">
        <color indexed="64"/>
      </right>
      <top/>
      <bottom/>
      <diagonal/>
    </border>
    <border>
      <left style="thin">
        <color auto="1"/>
      </left>
      <right/>
      <top style="hair">
        <color auto="1"/>
      </top>
      <bottom/>
      <diagonal/>
    </border>
    <border>
      <left/>
      <right/>
      <top style="thin">
        <color rgb="FF44B3E1"/>
      </top>
      <bottom style="thin">
        <color rgb="FF44B3E1"/>
      </bottom>
      <diagonal/>
    </border>
    <border>
      <left/>
      <right style="medium">
        <color indexed="64"/>
      </right>
      <top style="thin">
        <color rgb="FF44B3E1"/>
      </top>
      <bottom style="thin">
        <color rgb="FF44B3E1"/>
      </bottom>
      <diagonal/>
    </border>
    <border>
      <left style="thin">
        <color theme="4" tint="0.39997558519241921"/>
      </left>
      <right/>
      <top style="thin">
        <color theme="4" tint="0.39997558519241921"/>
      </top>
      <bottom style="thin">
        <color theme="4" tint="0.39997558519241921"/>
      </bottom>
      <diagonal/>
    </border>
    <border>
      <left style="hair">
        <color indexed="64"/>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1" fillId="10" borderId="0" applyNumberFormat="0" applyBorder="0" applyAlignment="0" applyProtection="0"/>
  </cellStyleXfs>
  <cellXfs count="386">
    <xf numFmtId="0" fontId="0" fillId="0" borderId="0" xfId="0"/>
    <xf numFmtId="0" fontId="4" fillId="0" borderId="0" xfId="0" applyFont="1" applyAlignment="1">
      <alignment vertical="center"/>
    </xf>
    <xf numFmtId="0" fontId="6" fillId="0" borderId="0" xfId="0" applyFont="1" applyAlignment="1">
      <alignment vertical="top"/>
    </xf>
    <xf numFmtId="14" fontId="5" fillId="3" borderId="1" xfId="0" applyNumberFormat="1" applyFont="1"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4" fillId="0" borderId="0" xfId="0" applyFont="1" applyAlignment="1" applyProtection="1">
      <alignment vertical="center"/>
      <protection hidden="1"/>
    </xf>
    <xf numFmtId="0" fontId="5" fillId="2" borderId="1" xfId="0" applyFont="1" applyFill="1" applyBorder="1" applyAlignment="1">
      <alignment vertical="center"/>
    </xf>
    <xf numFmtId="165" fontId="4" fillId="0" borderId="1" xfId="0" applyNumberFormat="1" applyFont="1" applyBorder="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lignment vertical="top"/>
    </xf>
    <xf numFmtId="0" fontId="6" fillId="0" borderId="0" xfId="0" applyFont="1" applyAlignment="1" applyProtection="1">
      <alignment vertical="center"/>
      <protection hidden="1"/>
    </xf>
    <xf numFmtId="0" fontId="4" fillId="0" borderId="12" xfId="0" applyFont="1" applyBorder="1" applyAlignment="1">
      <alignment vertical="center"/>
    </xf>
    <xf numFmtId="0" fontId="6" fillId="0" borderId="0" xfId="0" quotePrefix="1" applyFont="1" applyAlignment="1" applyProtection="1">
      <alignment vertical="center"/>
      <protection hidden="1"/>
    </xf>
    <xf numFmtId="0" fontId="5" fillId="6" borderId="4" xfId="0" applyFont="1" applyFill="1" applyBorder="1" applyAlignment="1">
      <alignment horizontal="center" vertical="center"/>
    </xf>
    <xf numFmtId="0" fontId="5" fillId="6" borderId="8" xfId="0" applyFont="1" applyFill="1" applyBorder="1" applyAlignment="1">
      <alignment horizontal="center" vertical="center"/>
    </xf>
    <xf numFmtId="0" fontId="5" fillId="3" borderId="1" xfId="0" applyFont="1" applyFill="1" applyBorder="1" applyAlignment="1" applyProtection="1">
      <alignment vertical="top"/>
      <protection hidden="1"/>
    </xf>
    <xf numFmtId="0" fontId="4" fillId="0" borderId="11" xfId="0" applyFont="1" applyBorder="1" applyAlignment="1" applyProtection="1">
      <alignment vertical="center"/>
      <protection hidden="1"/>
    </xf>
    <xf numFmtId="0" fontId="4" fillId="0" borderId="10" xfId="0" applyFont="1" applyBorder="1" applyAlignment="1" applyProtection="1">
      <alignment horizontal="center" vertical="center"/>
      <protection hidden="1"/>
    </xf>
    <xf numFmtId="0" fontId="12" fillId="0" borderId="0" xfId="0" applyFont="1" applyAlignment="1" applyProtection="1">
      <alignment vertical="center"/>
      <protection hidden="1"/>
    </xf>
    <xf numFmtId="0" fontId="5" fillId="0" borderId="4" xfId="0" applyFont="1" applyBorder="1" applyAlignment="1">
      <alignment horizontal="center" vertical="center"/>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0" fontId="2" fillId="0" borderId="0" xfId="0" applyFont="1" applyAlignment="1" applyProtection="1">
      <alignment vertical="center"/>
      <protection hidden="1"/>
    </xf>
    <xf numFmtId="0" fontId="4" fillId="5" borderId="24" xfId="0" applyFont="1" applyFill="1" applyBorder="1" applyAlignment="1" applyProtection="1">
      <alignment vertical="center"/>
      <protection locked="0"/>
    </xf>
    <xf numFmtId="0" fontId="4" fillId="5" borderId="20" xfId="0" applyFont="1" applyFill="1" applyBorder="1" applyAlignment="1" applyProtection="1">
      <alignment vertical="center"/>
      <protection locked="0"/>
    </xf>
    <xf numFmtId="0" fontId="5" fillId="6" borderId="10" xfId="0" applyFont="1" applyFill="1" applyBorder="1" applyAlignment="1">
      <alignment horizontal="left" vertical="center"/>
    </xf>
    <xf numFmtId="0" fontId="5" fillId="6" borderId="10" xfId="0" applyFont="1" applyFill="1" applyBorder="1" applyAlignment="1">
      <alignment horizontal="center" vertical="center"/>
    </xf>
    <xf numFmtId="165" fontId="4" fillId="0" borderId="31" xfId="0" applyNumberFormat="1" applyFont="1" applyBorder="1" applyAlignment="1" applyProtection="1">
      <alignment vertical="center"/>
      <protection hidden="1"/>
    </xf>
    <xf numFmtId="165" fontId="4" fillId="0" borderId="30" xfId="0" applyNumberFormat="1" applyFont="1" applyBorder="1" applyAlignment="1" applyProtection="1">
      <alignment vertical="center"/>
      <protection hidden="1"/>
    </xf>
    <xf numFmtId="0" fontId="5" fillId="0" borderId="4" xfId="0" applyFont="1" applyBorder="1" applyAlignment="1">
      <alignment vertical="center"/>
    </xf>
    <xf numFmtId="0" fontId="5" fillId="6" borderId="0" xfId="0" applyFont="1" applyFill="1" applyAlignment="1">
      <alignment horizontal="center" vertical="center"/>
    </xf>
    <xf numFmtId="0" fontId="4" fillId="5" borderId="23"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5" fillId="0" borderId="0" xfId="0" applyFont="1" applyAlignment="1">
      <alignment vertical="center"/>
    </xf>
    <xf numFmtId="0" fontId="5" fillId="0" borderId="10" xfId="0" applyFont="1" applyBorder="1" applyAlignment="1">
      <alignment horizontal="center" vertical="center"/>
    </xf>
    <xf numFmtId="0" fontId="5" fillId="0" borderId="0" xfId="0" applyFont="1" applyAlignment="1">
      <alignment horizontal="center" vertical="center"/>
    </xf>
    <xf numFmtId="165" fontId="0" fillId="0" borderId="0" xfId="0" applyNumberFormat="1" applyAlignment="1" applyProtection="1">
      <alignment horizontal="left" vertical="center"/>
      <protection hidden="1"/>
    </xf>
    <xf numFmtId="3" fontId="4" fillId="0" borderId="16" xfId="0" applyNumberFormat="1" applyFont="1" applyBorder="1" applyAlignment="1" applyProtection="1">
      <alignment horizontal="center" vertical="center"/>
      <protection hidden="1"/>
    </xf>
    <xf numFmtId="3" fontId="4" fillId="0" borderId="19" xfId="0" applyNumberFormat="1" applyFont="1" applyBorder="1" applyAlignment="1" applyProtection="1">
      <alignment horizontal="center" vertical="center"/>
      <protection hidden="1"/>
    </xf>
    <xf numFmtId="0" fontId="4" fillId="5" borderId="20" xfId="0" applyFont="1" applyFill="1" applyBorder="1" applyAlignment="1" applyProtection="1">
      <alignment horizontal="left" vertical="center"/>
      <protection locked="0"/>
    </xf>
    <xf numFmtId="0" fontId="4" fillId="5" borderId="18" xfId="0" applyFont="1" applyFill="1" applyBorder="1" applyAlignment="1" applyProtection="1">
      <alignment vertical="center"/>
      <protection locked="0"/>
    </xf>
    <xf numFmtId="0" fontId="5" fillId="0" borderId="8" xfId="0" applyFont="1" applyBorder="1" applyAlignment="1" applyProtection="1">
      <alignment horizontal="left" vertical="center"/>
      <protection hidden="1"/>
    </xf>
    <xf numFmtId="0" fontId="4" fillId="5" borderId="17" xfId="0" applyFont="1" applyFill="1" applyBorder="1" applyAlignment="1" applyProtection="1">
      <alignment vertical="center"/>
      <protection locked="0"/>
    </xf>
    <xf numFmtId="0" fontId="4" fillId="5" borderId="24" xfId="0" applyFont="1" applyFill="1" applyBorder="1" applyAlignment="1" applyProtection="1">
      <alignment horizontal="left" vertical="center"/>
      <protection locked="0"/>
    </xf>
    <xf numFmtId="0" fontId="5" fillId="0" borderId="10" xfId="0" applyFont="1" applyBorder="1" applyAlignment="1">
      <alignment horizontal="left" vertical="center"/>
    </xf>
    <xf numFmtId="0" fontId="14" fillId="5" borderId="20" xfId="0" applyFont="1" applyFill="1" applyBorder="1" applyAlignment="1" applyProtection="1">
      <alignment horizontal="left" vertical="center"/>
      <protection locked="0"/>
    </xf>
    <xf numFmtId="2" fontId="4" fillId="5" borderId="16" xfId="0" applyNumberFormat="1" applyFont="1" applyFill="1" applyBorder="1" applyAlignment="1" applyProtection="1">
      <alignment horizontal="center" vertical="center"/>
      <protection locked="0"/>
    </xf>
    <xf numFmtId="2" fontId="4" fillId="5" borderId="19" xfId="0" applyNumberFormat="1" applyFont="1" applyFill="1" applyBorder="1" applyAlignment="1" applyProtection="1">
      <alignment horizontal="center" vertical="center"/>
      <protection locked="0"/>
    </xf>
    <xf numFmtId="1" fontId="4" fillId="5" borderId="16" xfId="0" applyNumberFormat="1" applyFont="1" applyFill="1" applyBorder="1" applyAlignment="1" applyProtection="1">
      <alignment horizontal="center" vertical="center"/>
      <protection locked="0"/>
    </xf>
    <xf numFmtId="1" fontId="4" fillId="5" borderId="19" xfId="0" applyNumberFormat="1" applyFont="1" applyFill="1" applyBorder="1" applyAlignment="1" applyProtection="1">
      <alignment horizontal="center" vertical="center"/>
      <protection locked="0"/>
    </xf>
    <xf numFmtId="0" fontId="4" fillId="5" borderId="20" xfId="0" applyFont="1" applyFill="1" applyBorder="1" applyAlignment="1">
      <alignment horizontal="left" vertical="center"/>
    </xf>
    <xf numFmtId="0" fontId="4" fillId="5" borderId="21" xfId="0" applyFont="1" applyFill="1" applyBorder="1" applyAlignment="1">
      <alignment horizontal="left" vertical="center"/>
    </xf>
    <xf numFmtId="0" fontId="4" fillId="5" borderId="24" xfId="0" applyFont="1" applyFill="1" applyBorder="1" applyAlignment="1" applyProtection="1">
      <alignment vertical="center"/>
      <protection hidden="1"/>
    </xf>
    <xf numFmtId="0" fontId="4" fillId="5" borderId="27" xfId="0" applyFont="1" applyFill="1" applyBorder="1" applyAlignment="1" applyProtection="1">
      <alignment vertical="center"/>
      <protection hidden="1"/>
    </xf>
    <xf numFmtId="0" fontId="4" fillId="5" borderId="20" xfId="0" applyFont="1" applyFill="1" applyBorder="1" applyAlignment="1" applyProtection="1">
      <alignment vertical="center"/>
      <protection hidden="1"/>
    </xf>
    <xf numFmtId="0" fontId="4" fillId="5" borderId="21" xfId="0" applyFont="1" applyFill="1" applyBorder="1" applyAlignment="1" applyProtection="1">
      <alignment vertical="center"/>
      <protection hidden="1"/>
    </xf>
    <xf numFmtId="0" fontId="4" fillId="0" borderId="4" xfId="0" applyFont="1" applyBorder="1" applyAlignment="1" applyProtection="1">
      <alignment horizontal="center" vertical="center"/>
      <protection hidden="1"/>
    </xf>
    <xf numFmtId="0" fontId="4" fillId="5" borderId="22" xfId="0" applyFont="1" applyFill="1" applyBorder="1" applyAlignment="1" applyProtection="1">
      <alignment horizontal="left" vertical="center"/>
      <protection locked="0"/>
    </xf>
    <xf numFmtId="0" fontId="15" fillId="0" borderId="0" xfId="0" applyFont="1" applyAlignment="1" applyProtection="1">
      <alignment vertical="center"/>
      <protection hidden="1"/>
    </xf>
    <xf numFmtId="165" fontId="4" fillId="5" borderId="17" xfId="0" applyNumberFormat="1" applyFont="1" applyFill="1" applyBorder="1" applyAlignment="1" applyProtection="1">
      <alignment vertical="center"/>
      <protection locked="0"/>
    </xf>
    <xf numFmtId="0" fontId="4" fillId="5" borderId="23" xfId="0" applyFont="1" applyFill="1" applyBorder="1" applyAlignment="1" applyProtection="1">
      <alignment vertical="center"/>
      <protection locked="0"/>
    </xf>
    <xf numFmtId="165" fontId="4" fillId="5" borderId="18" xfId="0" applyNumberFormat="1" applyFont="1" applyFill="1" applyBorder="1" applyAlignment="1" applyProtection="1">
      <alignment vertical="center"/>
      <protection locked="0"/>
    </xf>
    <xf numFmtId="0" fontId="4" fillId="0" borderId="3" xfId="0" applyFont="1" applyBorder="1" applyAlignment="1" applyProtection="1">
      <alignment vertical="center"/>
      <protection hidden="1"/>
    </xf>
    <xf numFmtId="0" fontId="4" fillId="6" borderId="4" xfId="0" applyFont="1" applyFill="1" applyBorder="1" applyAlignment="1" applyProtection="1">
      <alignment vertical="center"/>
      <protection hidden="1"/>
    </xf>
    <xf numFmtId="0" fontId="4" fillId="6" borderId="4" xfId="0" applyFont="1" applyFill="1" applyBorder="1" applyAlignment="1" applyProtection="1">
      <alignment horizontal="center" vertical="center"/>
      <protection hidden="1"/>
    </xf>
    <xf numFmtId="3" fontId="4" fillId="5" borderId="27" xfId="0" applyNumberFormat="1" applyFont="1" applyFill="1" applyBorder="1" applyAlignment="1" applyProtection="1">
      <alignment horizontal="center" vertical="center"/>
      <protection locked="0"/>
    </xf>
    <xf numFmtId="3" fontId="4" fillId="5" borderId="21" xfId="0" applyNumberFormat="1" applyFont="1" applyFill="1" applyBorder="1" applyAlignment="1" applyProtection="1">
      <alignment horizontal="center" vertical="center"/>
      <protection locked="0"/>
    </xf>
    <xf numFmtId="4" fontId="4" fillId="0" borderId="16" xfId="0" applyNumberFormat="1" applyFont="1" applyBorder="1" applyAlignment="1" applyProtection="1">
      <alignment horizontal="center" vertical="center"/>
      <protection hidden="1"/>
    </xf>
    <xf numFmtId="4" fontId="4" fillId="0" borderId="19" xfId="0" applyNumberFormat="1" applyFont="1" applyBorder="1" applyAlignment="1" applyProtection="1">
      <alignment horizontal="center" vertical="center"/>
      <protection hidden="1"/>
    </xf>
    <xf numFmtId="3" fontId="0" fillId="0" borderId="0" xfId="0" applyNumberFormat="1" applyAlignment="1" applyProtection="1">
      <alignment horizontal="left" vertical="center"/>
      <protection hidden="1"/>
    </xf>
    <xf numFmtId="0" fontId="4" fillId="0" borderId="33" xfId="0" applyFont="1" applyBorder="1" applyAlignment="1" applyProtection="1">
      <alignment horizontal="left" vertical="center"/>
      <protection hidden="1"/>
    </xf>
    <xf numFmtId="0" fontId="5" fillId="0" borderId="12" xfId="0" applyFont="1" applyBorder="1" applyAlignment="1">
      <alignment horizontal="center" vertical="center"/>
    </xf>
    <xf numFmtId="0" fontId="5" fillId="0" borderId="38" xfId="0" applyFont="1" applyBorder="1" applyAlignment="1">
      <alignment horizontal="center" vertical="center"/>
    </xf>
    <xf numFmtId="165" fontId="4" fillId="5" borderId="31" xfId="0" applyNumberFormat="1" applyFont="1" applyFill="1" applyBorder="1" applyAlignment="1" applyProtection="1">
      <alignment vertical="center"/>
      <protection locked="0"/>
    </xf>
    <xf numFmtId="165" fontId="4" fillId="5" borderId="30" xfId="0" applyNumberFormat="1" applyFont="1" applyFill="1" applyBorder="1" applyAlignment="1" applyProtection="1">
      <alignment vertical="center"/>
      <protection locked="0"/>
    </xf>
    <xf numFmtId="14" fontId="0" fillId="0" borderId="0" xfId="0" applyNumberFormat="1" applyAlignment="1" applyProtection="1">
      <alignment horizontal="left" vertical="center"/>
      <protection hidden="1"/>
    </xf>
    <xf numFmtId="1" fontId="0" fillId="0" borderId="0" xfId="0" applyNumberFormat="1" applyAlignment="1" applyProtection="1">
      <alignment horizontal="left" vertical="center"/>
      <protection hidden="1"/>
    </xf>
    <xf numFmtId="9" fontId="0" fillId="0" borderId="0" xfId="0" applyNumberFormat="1" applyAlignment="1" applyProtection="1">
      <alignment horizontal="left" vertical="center"/>
      <protection hidden="1"/>
    </xf>
    <xf numFmtId="0" fontId="0" fillId="0" borderId="0" xfId="0" applyAlignment="1" applyProtection="1">
      <alignment vertical="center" wrapText="1"/>
      <protection hidden="1"/>
    </xf>
    <xf numFmtId="165" fontId="0" fillId="0" borderId="0" xfId="0" applyNumberFormat="1" applyAlignment="1" applyProtection="1">
      <alignment horizontal="left" vertical="top"/>
      <protection hidden="1"/>
    </xf>
    <xf numFmtId="0" fontId="15" fillId="0" borderId="0" xfId="0" applyFont="1" applyAlignment="1" applyProtection="1">
      <alignment vertical="center" wrapText="1"/>
      <protection hidden="1"/>
    </xf>
    <xf numFmtId="165" fontId="4" fillId="0" borderId="16" xfId="0" applyNumberFormat="1" applyFont="1" applyBorder="1" applyAlignment="1" applyProtection="1">
      <alignment horizontal="center" vertical="center"/>
      <protection locked="0"/>
    </xf>
    <xf numFmtId="165" fontId="4" fillId="0" borderId="19" xfId="0" applyNumberFormat="1" applyFont="1" applyBorder="1" applyAlignment="1" applyProtection="1">
      <alignment horizontal="center" vertical="center"/>
      <protection locked="0"/>
    </xf>
    <xf numFmtId="0" fontId="0" fillId="0" borderId="13" xfId="0" applyBorder="1" applyAlignment="1" applyProtection="1">
      <alignment horizontal="left" vertical="center"/>
      <protection hidden="1"/>
    </xf>
    <xf numFmtId="0" fontId="0" fillId="0" borderId="39" xfId="0" applyBorder="1" applyAlignment="1" applyProtection="1">
      <alignment horizontal="left" vertical="center"/>
      <protection hidden="1"/>
    </xf>
    <xf numFmtId="3" fontId="0" fillId="0" borderId="15" xfId="0" applyNumberFormat="1" applyBorder="1" applyAlignment="1" applyProtection="1">
      <alignment vertical="center"/>
      <protection hidden="1"/>
    </xf>
    <xf numFmtId="0" fontId="12" fillId="0" borderId="0" xfId="0" applyFont="1" applyAlignment="1">
      <alignment vertical="center"/>
    </xf>
    <xf numFmtId="0" fontId="0" fillId="0" borderId="0" xfId="0" applyAlignment="1" applyProtection="1">
      <alignment horizontal="left" vertical="top" wrapText="1"/>
      <protection hidden="1"/>
    </xf>
    <xf numFmtId="0" fontId="0" fillId="0" borderId="0" xfId="0" applyAlignment="1" applyProtection="1">
      <alignment horizontal="left" vertical="top"/>
      <protection hidden="1"/>
    </xf>
    <xf numFmtId="0" fontId="4" fillId="5" borderId="36" xfId="0" applyFont="1" applyFill="1" applyBorder="1" applyAlignment="1" applyProtection="1">
      <alignment vertical="center"/>
      <protection locked="0"/>
    </xf>
    <xf numFmtId="0" fontId="4" fillId="5" borderId="34" xfId="0" applyFont="1" applyFill="1" applyBorder="1" applyAlignment="1">
      <alignment horizontal="left" vertical="center"/>
    </xf>
    <xf numFmtId="1" fontId="4" fillId="5" borderId="34" xfId="0" applyNumberFormat="1" applyFont="1" applyFill="1" applyBorder="1" applyAlignment="1">
      <alignment horizontal="center" vertical="center"/>
    </xf>
    <xf numFmtId="1" fontId="4" fillId="5" borderId="20" xfId="0" applyNumberFormat="1" applyFont="1" applyFill="1" applyBorder="1" applyAlignment="1">
      <alignment horizontal="center" vertical="center"/>
    </xf>
    <xf numFmtId="0" fontId="8" fillId="0" borderId="12" xfId="2" quotePrefix="1" applyFont="1" applyBorder="1" applyAlignment="1" applyProtection="1">
      <alignment vertical="center" wrapText="1"/>
      <protection hidden="1"/>
    </xf>
    <xf numFmtId="167" fontId="4" fillId="5" borderId="1" xfId="0" applyNumberFormat="1" applyFont="1" applyFill="1" applyBorder="1" applyAlignment="1" applyProtection="1">
      <alignment vertical="center"/>
      <protection locked="0"/>
    </xf>
    <xf numFmtId="166" fontId="4" fillId="0" borderId="1" xfId="1" applyNumberFormat="1" applyFont="1" applyFill="1" applyBorder="1" applyAlignment="1" applyProtection="1">
      <alignment horizontal="right" vertical="center"/>
      <protection hidden="1"/>
    </xf>
    <xf numFmtId="0" fontId="0" fillId="8" borderId="0" xfId="0" applyFill="1"/>
    <xf numFmtId="3" fontId="0" fillId="8" borderId="0" xfId="0" applyNumberFormat="1" applyFill="1"/>
    <xf numFmtId="3" fontId="0" fillId="8" borderId="0" xfId="0" applyNumberFormat="1" applyFill="1" applyAlignment="1">
      <alignment horizontal="right"/>
    </xf>
    <xf numFmtId="1" fontId="0" fillId="8" borderId="0" xfId="0" applyNumberFormat="1" applyFill="1" applyAlignment="1">
      <alignment horizontal="left"/>
    </xf>
    <xf numFmtId="0" fontId="4" fillId="8" borderId="0" xfId="0" applyFont="1" applyFill="1"/>
    <xf numFmtId="0" fontId="19" fillId="8" borderId="0" xfId="0" applyFont="1" applyFill="1"/>
    <xf numFmtId="165" fontId="0" fillId="8" borderId="0" xfId="0" applyNumberFormat="1" applyFill="1"/>
    <xf numFmtId="3" fontId="0" fillId="8" borderId="0" xfId="0" applyNumberFormat="1" applyFill="1" applyAlignment="1">
      <alignment horizontal="center"/>
    </xf>
    <xf numFmtId="165" fontId="19" fillId="8" borderId="0" xfId="0" applyNumberFormat="1" applyFont="1" applyFill="1"/>
    <xf numFmtId="165" fontId="19" fillId="8" borderId="0" xfId="0" applyNumberFormat="1" applyFont="1" applyFill="1" applyAlignment="1">
      <alignment horizontal="right"/>
    </xf>
    <xf numFmtId="0" fontId="4" fillId="0" borderId="0" xfId="0" applyFont="1" applyAlignment="1" applyProtection="1">
      <alignment horizontal="left" vertical="center"/>
      <protection hidden="1"/>
    </xf>
    <xf numFmtId="0" fontId="4" fillId="0" borderId="36" xfId="0" applyFont="1" applyBorder="1" applyAlignment="1" applyProtection="1">
      <alignment horizontal="left" vertical="center"/>
      <protection hidden="1"/>
    </xf>
    <xf numFmtId="0" fontId="4" fillId="0" borderId="23" xfId="0" applyFont="1" applyBorder="1" applyAlignment="1" applyProtection="1">
      <alignment horizontal="left" vertical="center"/>
      <protection hidden="1"/>
    </xf>
    <xf numFmtId="0" fontId="13" fillId="7" borderId="29" xfId="0" applyFont="1" applyFill="1" applyBorder="1" applyAlignment="1" applyProtection="1">
      <alignment vertical="center"/>
      <protection hidden="1"/>
    </xf>
    <xf numFmtId="0" fontId="13" fillId="7" borderId="0" xfId="0" applyFont="1" applyFill="1" applyAlignment="1" applyProtection="1">
      <alignment horizontal="right" vertical="center"/>
      <protection hidden="1"/>
    </xf>
    <xf numFmtId="0" fontId="0" fillId="0" borderId="0" xfId="0" applyProtection="1">
      <protection hidden="1"/>
    </xf>
    <xf numFmtId="0" fontId="11" fillId="0" borderId="0" xfId="0" applyFont="1" applyAlignment="1" applyProtection="1">
      <alignment horizontal="left" vertical="center"/>
      <protection hidden="1"/>
    </xf>
    <xf numFmtId="165" fontId="11" fillId="0" borderId="0" xfId="0" applyNumberFormat="1" applyFont="1" applyAlignment="1" applyProtection="1">
      <alignment horizontal="left" vertical="center"/>
      <protection hidden="1"/>
    </xf>
    <xf numFmtId="0" fontId="3" fillId="0" borderId="0" xfId="2" applyAlignment="1" applyProtection="1">
      <alignment vertical="top"/>
      <protection hidden="1"/>
    </xf>
    <xf numFmtId="0" fontId="3" fillId="0" borderId="0" xfId="2" applyProtection="1">
      <protection hidden="1"/>
    </xf>
    <xf numFmtId="0" fontId="2" fillId="0" borderId="0" xfId="0" applyFont="1" applyProtection="1">
      <protection hidden="1"/>
    </xf>
    <xf numFmtId="166" fontId="2" fillId="0" borderId="0" xfId="0" applyNumberFormat="1" applyFont="1" applyProtection="1">
      <protection hidden="1"/>
    </xf>
    <xf numFmtId="0" fontId="18" fillId="0" borderId="0" xfId="0" applyFont="1" applyProtection="1">
      <protection hidden="1"/>
    </xf>
    <xf numFmtId="166" fontId="0" fillId="0" borderId="0" xfId="0" applyNumberFormat="1" applyProtection="1">
      <protection hidden="1"/>
    </xf>
    <xf numFmtId="0" fontId="17" fillId="0" borderId="0" xfId="0" applyFont="1" applyAlignment="1" applyProtection="1">
      <alignment vertical="center"/>
      <protection hidden="1"/>
    </xf>
    <xf numFmtId="165" fontId="17" fillId="0" borderId="0" xfId="0" applyNumberFormat="1" applyFont="1" applyAlignment="1" applyProtection="1">
      <alignment vertical="center"/>
      <protection hidden="1"/>
    </xf>
    <xf numFmtId="0" fontId="17" fillId="0" borderId="0" xfId="0" applyFont="1" applyProtection="1">
      <protection hidden="1"/>
    </xf>
    <xf numFmtId="0" fontId="15" fillId="0" borderId="0" xfId="0" applyFont="1" applyProtection="1">
      <protection hidden="1"/>
    </xf>
    <xf numFmtId="0" fontId="0" fillId="0" borderId="31" xfId="0" applyBorder="1" applyAlignment="1" applyProtection="1">
      <alignment horizontal="left" vertical="center"/>
      <protection hidden="1"/>
    </xf>
    <xf numFmtId="0" fontId="0" fillId="0" borderId="30" xfId="0" applyBorder="1" applyAlignment="1" applyProtection="1">
      <alignment horizontal="left" vertical="center"/>
      <protection hidden="1"/>
    </xf>
    <xf numFmtId="0" fontId="0" fillId="0" borderId="0" xfId="0" applyAlignment="1" applyProtection="1">
      <alignment horizontal="right"/>
      <protection hidden="1"/>
    </xf>
    <xf numFmtId="165" fontId="2" fillId="0" borderId="0" xfId="0" applyNumberFormat="1" applyFont="1" applyProtection="1">
      <protection hidden="1"/>
    </xf>
    <xf numFmtId="0" fontId="0" fillId="0" borderId="0" xfId="0" applyAlignment="1" applyProtection="1">
      <alignment vertical="top" wrapText="1"/>
      <protection hidden="1"/>
    </xf>
    <xf numFmtId="0" fontId="15" fillId="0" borderId="0" xfId="0" applyFont="1" applyAlignment="1" applyProtection="1">
      <alignment vertical="top" wrapText="1"/>
      <protection hidden="1"/>
    </xf>
    <xf numFmtId="165" fontId="4" fillId="0" borderId="1" xfId="0" applyNumberFormat="1" applyFont="1" applyBorder="1" applyAlignment="1" applyProtection="1">
      <alignment horizontal="right" vertical="center"/>
      <protection hidden="1"/>
    </xf>
    <xf numFmtId="10" fontId="4" fillId="0" borderId="1" xfId="0" applyNumberFormat="1" applyFont="1" applyBorder="1" applyAlignment="1" applyProtection="1">
      <alignment horizontal="right" vertical="center"/>
      <protection hidden="1"/>
    </xf>
    <xf numFmtId="0" fontId="15" fillId="8" borderId="0" xfId="0" applyFont="1" applyFill="1"/>
    <xf numFmtId="0" fontId="5" fillId="3" borderId="1" xfId="0" applyFont="1" applyFill="1" applyBorder="1" applyAlignment="1">
      <alignment horizontal="right"/>
    </xf>
    <xf numFmtId="3" fontId="5" fillId="3" borderId="1" xfId="0" applyNumberFormat="1" applyFont="1" applyFill="1" applyBorder="1" applyAlignment="1">
      <alignment horizontal="right"/>
    </xf>
    <xf numFmtId="0" fontId="0" fillId="8" borderId="0" xfId="0" applyFill="1" applyAlignment="1">
      <alignment wrapText="1"/>
    </xf>
    <xf numFmtId="0" fontId="5" fillId="8" borderId="40" xfId="0" applyFont="1" applyFill="1" applyBorder="1"/>
    <xf numFmtId="165" fontId="5" fillId="8" borderId="40" xfId="0" applyNumberFormat="1" applyFont="1" applyFill="1" applyBorder="1" applyAlignment="1">
      <alignment horizontal="left" vertical="top"/>
    </xf>
    <xf numFmtId="0" fontId="6" fillId="8" borderId="38" xfId="0" quotePrefix="1" applyFont="1" applyFill="1" applyBorder="1" applyAlignment="1">
      <alignment horizontal="right"/>
    </xf>
    <xf numFmtId="165" fontId="6" fillId="8" borderId="38" xfId="0" applyNumberFormat="1" applyFont="1" applyFill="1" applyBorder="1"/>
    <xf numFmtId="0" fontId="5" fillId="8" borderId="30" xfId="0" applyFont="1" applyFill="1" applyBorder="1"/>
    <xf numFmtId="165" fontId="5" fillId="8" borderId="30" xfId="0" applyNumberFormat="1" applyFont="1" applyFill="1" applyBorder="1" applyAlignment="1">
      <alignment horizontal="left"/>
    </xf>
    <xf numFmtId="0" fontId="10" fillId="3" borderId="1" xfId="0" applyFont="1" applyFill="1" applyBorder="1"/>
    <xf numFmtId="165" fontId="10" fillId="3" borderId="1" xfId="0" applyNumberFormat="1" applyFont="1" applyFill="1" applyBorder="1" applyAlignment="1">
      <alignment horizontal="left"/>
    </xf>
    <xf numFmtId="0" fontId="5" fillId="4" borderId="1" xfId="0" applyFont="1" applyFill="1" applyBorder="1"/>
    <xf numFmtId="165" fontId="5" fillId="4" borderId="1" xfId="0" applyNumberFormat="1" applyFont="1" applyFill="1" applyBorder="1" applyAlignment="1">
      <alignment horizontal="left" vertical="center"/>
    </xf>
    <xf numFmtId="0" fontId="5" fillId="4" borderId="1" xfId="0" applyFont="1" applyFill="1" applyBorder="1" applyAlignment="1">
      <alignment horizontal="left" vertical="center"/>
    </xf>
    <xf numFmtId="165" fontId="4" fillId="8" borderId="0" xfId="0" applyNumberFormat="1" applyFont="1" applyFill="1"/>
    <xf numFmtId="0" fontId="4" fillId="0" borderId="38" xfId="0" applyFont="1" applyBorder="1"/>
    <xf numFmtId="165" fontId="4" fillId="0" borderId="38" xfId="0" applyNumberFormat="1" applyFont="1" applyBorder="1" applyAlignment="1">
      <alignment horizontal="left" vertical="center"/>
    </xf>
    <xf numFmtId="0" fontId="4" fillId="8" borderId="38" xfId="0" applyFont="1" applyFill="1" applyBorder="1"/>
    <xf numFmtId="165" fontId="4" fillId="8" borderId="38" xfId="0" applyNumberFormat="1" applyFont="1" applyFill="1" applyBorder="1" applyAlignment="1">
      <alignment horizontal="left" vertical="center"/>
    </xf>
    <xf numFmtId="0" fontId="4" fillId="0" borderId="38" xfId="0" applyFont="1" applyBorder="1" applyAlignment="1">
      <alignment horizontal="left" vertical="center"/>
    </xf>
    <xf numFmtId="0" fontId="6" fillId="8" borderId="41" xfId="0" quotePrefix="1" applyFont="1" applyFill="1" applyBorder="1" applyAlignment="1">
      <alignment horizontal="right"/>
    </xf>
    <xf numFmtId="165" fontId="6" fillId="8" borderId="41" xfId="0" applyNumberFormat="1" applyFont="1" applyFill="1" applyBorder="1" applyAlignment="1">
      <alignment horizontal="right"/>
    </xf>
    <xf numFmtId="165" fontId="6" fillId="0" borderId="41" xfId="0" applyNumberFormat="1" applyFont="1" applyBorder="1" applyAlignment="1">
      <alignment horizontal="right"/>
    </xf>
    <xf numFmtId="0" fontId="4" fillId="8" borderId="41" xfId="0" applyFont="1" applyFill="1" applyBorder="1" applyAlignment="1">
      <alignment horizontal="left"/>
    </xf>
    <xf numFmtId="165" fontId="4" fillId="8" borderId="41" xfId="0" applyNumberFormat="1" applyFont="1" applyFill="1" applyBorder="1" applyAlignment="1">
      <alignment horizontal="right"/>
    </xf>
    <xf numFmtId="165" fontId="4" fillId="0" borderId="41" xfId="0" applyNumberFormat="1" applyFont="1" applyBorder="1" applyAlignment="1">
      <alignment horizontal="right"/>
    </xf>
    <xf numFmtId="0" fontId="5" fillId="3" borderId="1" xfId="0" applyFont="1" applyFill="1" applyBorder="1"/>
    <xf numFmtId="165" fontId="5" fillId="8" borderId="1" xfId="0" applyNumberFormat="1" applyFont="1" applyFill="1" applyBorder="1"/>
    <xf numFmtId="0" fontId="4" fillId="0" borderId="0" xfId="0" applyFont="1"/>
    <xf numFmtId="165" fontId="15" fillId="8" borderId="0" xfId="0" applyNumberFormat="1" applyFont="1" applyFill="1"/>
    <xf numFmtId="0" fontId="15" fillId="0" borderId="0" xfId="0" applyFont="1"/>
    <xf numFmtId="0" fontId="5" fillId="9" borderId="9" xfId="0" applyFont="1" applyFill="1" applyBorder="1" applyAlignment="1">
      <alignment wrapText="1"/>
    </xf>
    <xf numFmtId="3" fontId="5" fillId="9" borderId="9" xfId="0" applyNumberFormat="1" applyFont="1" applyFill="1" applyBorder="1" applyAlignment="1">
      <alignment horizontal="left" vertical="top" wrapText="1"/>
    </xf>
    <xf numFmtId="0" fontId="13" fillId="7" borderId="42" xfId="0" applyFont="1" applyFill="1" applyBorder="1"/>
    <xf numFmtId="0" fontId="0" fillId="0" borderId="0" xfId="0" applyAlignment="1" applyProtection="1">
      <alignment horizontal="left" vertical="center"/>
      <protection hidden="1"/>
    </xf>
    <xf numFmtId="0" fontId="5" fillId="3" borderId="3" xfId="0" applyFont="1" applyFill="1" applyBorder="1" applyAlignment="1">
      <alignment vertical="center"/>
    </xf>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7" xfId="0" applyFont="1" applyFill="1" applyBorder="1" applyAlignment="1">
      <alignment vertical="center"/>
    </xf>
    <xf numFmtId="0" fontId="5" fillId="3" borderId="8" xfId="0" applyFont="1" applyFill="1" applyBorder="1" applyAlignment="1">
      <alignment vertical="center"/>
    </xf>
    <xf numFmtId="0" fontId="5" fillId="3" borderId="6" xfId="0" applyFont="1" applyFill="1" applyBorder="1" applyAlignment="1">
      <alignment vertical="center"/>
    </xf>
    <xf numFmtId="165" fontId="4" fillId="0" borderId="16" xfId="0" applyNumberFormat="1" applyFont="1" applyBorder="1" applyAlignment="1" applyProtection="1">
      <alignment horizontal="center" vertical="center"/>
      <protection hidden="1"/>
    </xf>
    <xf numFmtId="165" fontId="4" fillId="0" borderId="19" xfId="0" applyNumberFormat="1" applyFont="1" applyBorder="1" applyAlignment="1" applyProtection="1">
      <alignment horizontal="center" vertical="center"/>
      <protection hidden="1"/>
    </xf>
    <xf numFmtId="0" fontId="5" fillId="0" borderId="10" xfId="0" applyFont="1" applyBorder="1" applyAlignment="1">
      <alignment horizontal="center" vertical="center" wrapText="1"/>
    </xf>
    <xf numFmtId="165" fontId="4" fillId="5" borderId="24" xfId="0" applyNumberFormat="1" applyFont="1" applyFill="1" applyBorder="1" applyAlignment="1" applyProtection="1">
      <alignment horizontal="center" vertical="center"/>
      <protection hidden="1"/>
    </xf>
    <xf numFmtId="165" fontId="4" fillId="5" borderId="20" xfId="0" applyNumberFormat="1" applyFont="1" applyFill="1" applyBorder="1" applyAlignment="1" applyProtection="1">
      <alignment horizontal="center" vertical="center"/>
      <protection hidden="1"/>
    </xf>
    <xf numFmtId="165" fontId="14" fillId="5" borderId="20" xfId="0" applyNumberFormat="1" applyFont="1" applyFill="1" applyBorder="1" applyAlignment="1" applyProtection="1">
      <alignment horizontal="center" vertical="center"/>
      <protection hidden="1"/>
    </xf>
    <xf numFmtId="0" fontId="21" fillId="0" borderId="0" xfId="0" applyFont="1" applyAlignment="1" applyProtection="1">
      <alignment vertical="center"/>
      <protection hidden="1"/>
    </xf>
    <xf numFmtId="0" fontId="10" fillId="2" borderId="3" xfId="0" applyFont="1" applyFill="1" applyBorder="1" applyAlignment="1">
      <alignment vertical="center"/>
    </xf>
    <xf numFmtId="0" fontId="10" fillId="2" borderId="4" xfId="0" applyFont="1" applyFill="1" applyBorder="1" applyAlignment="1">
      <alignment vertical="center"/>
    </xf>
    <xf numFmtId="0" fontId="10" fillId="2" borderId="5" xfId="0" applyFont="1" applyFill="1" applyBorder="1" applyAlignment="1">
      <alignment vertical="center"/>
    </xf>
    <xf numFmtId="0" fontId="6" fillId="0" borderId="4" xfId="0" applyFont="1" applyBorder="1" applyAlignment="1" applyProtection="1">
      <alignment vertical="center"/>
      <protection hidden="1"/>
    </xf>
    <xf numFmtId="0" fontId="4" fillId="5" borderId="16"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3" fontId="4" fillId="0" borderId="34" xfId="0" applyNumberFormat="1" applyFont="1" applyBorder="1" applyAlignment="1" applyProtection="1">
      <alignment horizontal="center" vertical="center"/>
      <protection hidden="1"/>
    </xf>
    <xf numFmtId="3" fontId="4" fillId="0" borderId="20" xfId="0" applyNumberFormat="1"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vertical="center"/>
      <protection hidden="1"/>
    </xf>
    <xf numFmtId="0" fontId="0" fillId="0" borderId="0" xfId="0" applyAlignment="1">
      <alignment horizontal="left" vertical="center"/>
    </xf>
    <xf numFmtId="165" fontId="0" fillId="0" borderId="0" xfId="0" applyNumberFormat="1" applyAlignment="1">
      <alignment horizontal="left" vertical="center"/>
    </xf>
    <xf numFmtId="0" fontId="11" fillId="0" borderId="0" xfId="0" applyFont="1" applyAlignment="1">
      <alignment horizontal="left" vertical="center"/>
    </xf>
    <xf numFmtId="165" fontId="11" fillId="0" borderId="0" xfId="0" applyNumberFormat="1" applyFont="1" applyAlignment="1">
      <alignment horizontal="left" vertical="center"/>
    </xf>
    <xf numFmtId="0" fontId="4" fillId="5" borderId="34" xfId="0" applyFont="1" applyFill="1" applyBorder="1" applyAlignment="1" applyProtection="1">
      <alignment horizontal="left" vertical="center"/>
      <protection locked="0"/>
    </xf>
    <xf numFmtId="0" fontId="4" fillId="5" borderId="35" xfId="0" applyFont="1" applyFill="1" applyBorder="1" applyAlignment="1">
      <alignment horizontal="left" vertical="center"/>
    </xf>
    <xf numFmtId="0" fontId="4" fillId="5" borderId="32" xfId="0" applyFont="1" applyFill="1" applyBorder="1" applyAlignment="1" applyProtection="1">
      <alignment horizontal="left" vertical="center"/>
      <protection locked="0"/>
    </xf>
    <xf numFmtId="0" fontId="4" fillId="0" borderId="4" xfId="0" applyFont="1" applyBorder="1" applyAlignment="1" applyProtection="1">
      <alignment horizontal="left" vertical="center"/>
      <protection hidden="1"/>
    </xf>
    <xf numFmtId="0" fontId="14" fillId="5" borderId="19"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164" fontId="4" fillId="5" borderId="34" xfId="0" applyNumberFormat="1" applyFont="1" applyFill="1" applyBorder="1" applyAlignment="1">
      <alignment horizontal="left" vertical="center"/>
    </xf>
    <xf numFmtId="164" fontId="4" fillId="5" borderId="20" xfId="0" applyNumberFormat="1" applyFont="1" applyFill="1" applyBorder="1" applyAlignment="1">
      <alignment horizontal="left" vertical="center"/>
    </xf>
    <xf numFmtId="164" fontId="4" fillId="5" borderId="24" xfId="0" applyNumberFormat="1" applyFont="1" applyFill="1" applyBorder="1" applyAlignment="1">
      <alignment horizontal="left" vertical="center"/>
    </xf>
    <xf numFmtId="0" fontId="4" fillId="0" borderId="2" xfId="0" applyFont="1" applyBorder="1" applyAlignment="1" applyProtection="1">
      <alignment horizontal="right" vertical="center"/>
      <protection hidden="1"/>
    </xf>
    <xf numFmtId="0" fontId="4" fillId="5" borderId="26" xfId="0" applyFont="1" applyFill="1" applyBorder="1" applyAlignment="1" applyProtection="1">
      <alignment vertical="center"/>
      <protection locked="0"/>
    </xf>
    <xf numFmtId="0" fontId="4" fillId="5" borderId="22" xfId="0" applyFont="1" applyFill="1" applyBorder="1" applyAlignment="1" applyProtection="1">
      <alignment vertical="center"/>
      <protection locked="0"/>
    </xf>
    <xf numFmtId="5" fontId="4" fillId="0" borderId="3" xfId="0" applyNumberFormat="1" applyFont="1" applyBorder="1" applyAlignment="1" applyProtection="1">
      <alignment vertical="center"/>
      <protection hidden="1"/>
    </xf>
    <xf numFmtId="0" fontId="6" fillId="0" borderId="0" xfId="0" applyFont="1" applyAlignment="1">
      <alignment horizontal="left" vertical="top" wrapText="1"/>
    </xf>
    <xf numFmtId="164" fontId="4" fillId="5" borderId="16" xfId="0" applyNumberFormat="1" applyFont="1" applyFill="1" applyBorder="1" applyAlignment="1" applyProtection="1">
      <alignment horizontal="center" vertical="center"/>
      <protection locked="0"/>
    </xf>
    <xf numFmtId="164" fontId="4" fillId="5" borderId="19" xfId="0" applyNumberFormat="1" applyFont="1" applyFill="1" applyBorder="1" applyAlignment="1" applyProtection="1">
      <alignment horizontal="center" vertical="center"/>
      <protection locked="0"/>
    </xf>
    <xf numFmtId="0" fontId="4" fillId="0" borderId="5" xfId="0" applyFont="1" applyBorder="1" applyAlignment="1" applyProtection="1">
      <alignment horizontal="left" vertical="center"/>
      <protection hidden="1"/>
    </xf>
    <xf numFmtId="169" fontId="12" fillId="0" borderId="0" xfId="0" applyNumberFormat="1" applyFont="1" applyAlignment="1" applyProtection="1">
      <alignment vertical="center"/>
      <protection hidden="1"/>
    </xf>
    <xf numFmtId="1" fontId="2" fillId="0" borderId="0" xfId="0" applyNumberFormat="1" applyFont="1" applyAlignment="1" applyProtection="1">
      <alignment vertical="center"/>
      <protection hidden="1"/>
    </xf>
    <xf numFmtId="0" fontId="0" fillId="0" borderId="0" xfId="0" applyAlignment="1" applyProtection="1">
      <alignment horizontal="left"/>
      <protection hidden="1"/>
    </xf>
    <xf numFmtId="0" fontId="4" fillId="0" borderId="5" xfId="0" applyFont="1" applyBorder="1" applyAlignment="1" applyProtection="1">
      <alignment horizontal="right" vertical="center"/>
      <protection hidden="1"/>
    </xf>
    <xf numFmtId="0" fontId="4" fillId="0" borderId="4" xfId="0" applyFont="1" applyBorder="1" applyAlignment="1">
      <alignment vertical="center"/>
    </xf>
    <xf numFmtId="0" fontId="4" fillId="6" borderId="5" xfId="0" applyFont="1" applyFill="1" applyBorder="1" applyAlignment="1" applyProtection="1">
      <alignment horizontal="right" vertical="center"/>
      <protection hidden="1"/>
    </xf>
    <xf numFmtId="0" fontId="4" fillId="0" borderId="10" xfId="0" applyFont="1" applyBorder="1" applyAlignment="1">
      <alignment vertical="center"/>
    </xf>
    <xf numFmtId="168" fontId="22" fillId="8" borderId="0" xfId="0" applyNumberFormat="1" applyFont="1" applyFill="1"/>
    <xf numFmtId="165" fontId="4" fillId="0" borderId="31" xfId="0" applyNumberFormat="1" applyFont="1" applyBorder="1" applyAlignment="1">
      <alignment vertical="center"/>
    </xf>
    <xf numFmtId="165" fontId="4" fillId="0" borderId="30" xfId="0" applyNumberFormat="1" applyFont="1" applyBorder="1" applyAlignment="1">
      <alignment vertical="center"/>
    </xf>
    <xf numFmtId="0" fontId="4" fillId="0" borderId="10" xfId="0" applyFont="1" applyBorder="1" applyAlignment="1" applyProtection="1">
      <alignment horizontal="left" vertical="center"/>
      <protection hidden="1"/>
    </xf>
    <xf numFmtId="0" fontId="4" fillId="0" borderId="10" xfId="0" applyFont="1" applyBorder="1" applyAlignment="1" applyProtection="1">
      <alignment vertical="center"/>
      <protection hidden="1"/>
    </xf>
    <xf numFmtId="0" fontId="4" fillId="3" borderId="3" xfId="0" applyFont="1" applyFill="1" applyBorder="1" applyAlignment="1" applyProtection="1">
      <alignment vertical="center"/>
      <protection hidden="1"/>
    </xf>
    <xf numFmtId="0" fontId="4" fillId="3" borderId="4" xfId="0" applyFont="1" applyFill="1" applyBorder="1" applyAlignment="1" applyProtection="1">
      <alignment vertical="center"/>
      <protection hidden="1"/>
    </xf>
    <xf numFmtId="0" fontId="4" fillId="3" borderId="4" xfId="0" applyFont="1" applyFill="1" applyBorder="1" applyAlignment="1">
      <alignment vertical="center"/>
    </xf>
    <xf numFmtId="0" fontId="5" fillId="3" borderId="5" xfId="0" applyFont="1" applyFill="1" applyBorder="1" applyAlignment="1" applyProtection="1">
      <alignment horizontal="right" vertical="center"/>
      <protection hidden="1"/>
    </xf>
    <xf numFmtId="165" fontId="5" fillId="0" borderId="1" xfId="0" applyNumberFormat="1" applyFont="1" applyBorder="1" applyAlignment="1" applyProtection="1">
      <alignment vertical="center"/>
      <protection hidden="1"/>
    </xf>
    <xf numFmtId="0" fontId="4" fillId="0" borderId="11" xfId="0" applyFont="1" applyBorder="1" applyAlignment="1">
      <alignment vertical="center"/>
    </xf>
    <xf numFmtId="0" fontId="4" fillId="0" borderId="43" xfId="0" applyFont="1" applyBorder="1" applyAlignment="1">
      <alignment vertical="center"/>
    </xf>
    <xf numFmtId="0" fontId="16" fillId="3" borderId="4" xfId="0" applyFont="1" applyFill="1" applyBorder="1" applyAlignment="1">
      <alignment horizontal="right" vertical="center"/>
    </xf>
    <xf numFmtId="0" fontId="5" fillId="3" borderId="5" xfId="0" applyFont="1" applyFill="1" applyBorder="1" applyAlignment="1">
      <alignment horizontal="right" vertical="center"/>
    </xf>
    <xf numFmtId="0" fontId="6" fillId="0" borderId="10" xfId="0" applyFont="1" applyBorder="1" applyAlignment="1" applyProtection="1">
      <alignment vertical="center"/>
      <protection hidden="1"/>
    </xf>
    <xf numFmtId="0" fontId="5" fillId="3" borderId="4" xfId="0" applyFont="1" applyFill="1" applyBorder="1" applyAlignment="1" applyProtection="1">
      <alignment vertical="center"/>
      <protection hidden="1"/>
    </xf>
    <xf numFmtId="165" fontId="5" fillId="3" borderId="4" xfId="0" applyNumberFormat="1" applyFont="1" applyFill="1" applyBorder="1" applyAlignment="1" applyProtection="1">
      <alignment horizontal="center" vertical="center"/>
      <protection hidden="1"/>
    </xf>
    <xf numFmtId="0" fontId="5" fillId="3" borderId="4" xfId="0" applyFont="1" applyFill="1" applyBorder="1" applyAlignment="1" applyProtection="1">
      <alignment horizontal="center" vertical="center"/>
      <protection hidden="1"/>
    </xf>
    <xf numFmtId="165" fontId="5" fillId="0" borderId="5" xfId="0" applyNumberFormat="1" applyFont="1" applyBorder="1" applyAlignment="1" applyProtection="1">
      <alignment vertical="center"/>
      <protection hidden="1"/>
    </xf>
    <xf numFmtId="165" fontId="2" fillId="0" borderId="0" xfId="0" applyNumberFormat="1" applyFont="1" applyAlignment="1" applyProtection="1">
      <alignment vertical="center"/>
      <protection hidden="1"/>
    </xf>
    <xf numFmtId="0" fontId="2" fillId="0" borderId="0" xfId="0" applyFont="1" applyAlignment="1" applyProtection="1">
      <alignment horizontal="left" vertical="center"/>
      <protection hidden="1"/>
    </xf>
    <xf numFmtId="0" fontId="4" fillId="0" borderId="28" xfId="0" applyFont="1" applyBorder="1" applyAlignment="1" applyProtection="1">
      <alignment vertical="center"/>
      <protection hidden="1"/>
    </xf>
    <xf numFmtId="165" fontId="4" fillId="0" borderId="0" xfId="0" applyNumberFormat="1" applyFont="1" applyAlignment="1" applyProtection="1">
      <alignment vertical="center"/>
      <protection hidden="1"/>
    </xf>
    <xf numFmtId="0" fontId="4" fillId="0" borderId="0" xfId="0" applyFont="1" applyProtection="1">
      <protection hidden="1"/>
    </xf>
    <xf numFmtId="165" fontId="23" fillId="0" borderId="0" xfId="0" applyNumberFormat="1" applyFont="1" applyAlignment="1" applyProtection="1">
      <alignment vertical="center"/>
      <protection hidden="1"/>
    </xf>
    <xf numFmtId="0" fontId="4" fillId="0" borderId="39" xfId="0" applyFont="1" applyBorder="1" applyAlignment="1" applyProtection="1">
      <alignment vertical="center"/>
      <protection hidden="1"/>
    </xf>
    <xf numFmtId="0" fontId="13" fillId="7" borderId="0" xfId="0" applyFont="1" applyFill="1" applyAlignment="1" applyProtection="1">
      <alignment vertical="center"/>
      <protection hidden="1"/>
    </xf>
    <xf numFmtId="0" fontId="13" fillId="7" borderId="0" xfId="0" applyFont="1" applyFill="1"/>
    <xf numFmtId="0" fontId="2" fillId="0" borderId="0" xfId="0" applyFont="1" applyAlignment="1" applyProtection="1">
      <alignment vertical="top" wrapText="1"/>
      <protection hidden="1"/>
    </xf>
    <xf numFmtId="164" fontId="0" fillId="0" borderId="0" xfId="0" applyNumberFormat="1" applyAlignment="1" applyProtection="1">
      <alignment horizontal="left" vertical="center"/>
      <protection hidden="1"/>
    </xf>
    <xf numFmtId="0" fontId="4" fillId="0" borderId="0" xfId="0" applyFont="1" applyAlignment="1" applyProtection="1">
      <alignment horizontal="left"/>
      <protection hidden="1"/>
    </xf>
    <xf numFmtId="166" fontId="0" fillId="0" borderId="0" xfId="1" applyNumberFormat="1" applyFont="1" applyFill="1"/>
    <xf numFmtId="0" fontId="1" fillId="0" borderId="0" xfId="3" applyFill="1"/>
    <xf numFmtId="166" fontId="1" fillId="0" borderId="0" xfId="3" applyNumberFormat="1" applyFill="1"/>
    <xf numFmtId="0" fontId="0" fillId="0" borderId="14" xfId="0" applyBorder="1" applyAlignment="1" applyProtection="1">
      <alignment horizontal="left" vertical="center"/>
      <protection hidden="1"/>
    </xf>
    <xf numFmtId="2" fontId="0" fillId="0" borderId="0" xfId="0" applyNumberFormat="1" applyAlignment="1" applyProtection="1">
      <alignment horizontal="left" vertical="center"/>
      <protection hidden="1"/>
    </xf>
    <xf numFmtId="1" fontId="4" fillId="0" borderId="0" xfId="0" applyNumberFormat="1" applyFont="1" applyAlignment="1" applyProtection="1">
      <alignment horizontal="center" vertical="center"/>
      <protection hidden="1"/>
    </xf>
    <xf numFmtId="10" fontId="4" fillId="0" borderId="0" xfId="0" applyNumberFormat="1" applyFont="1" applyAlignment="1" applyProtection="1">
      <alignment horizontal="center" vertical="center"/>
      <protection hidden="1"/>
    </xf>
    <xf numFmtId="10" fontId="0" fillId="0" borderId="0" xfId="0" applyNumberFormat="1" applyProtection="1">
      <protection hidden="1"/>
    </xf>
    <xf numFmtId="3" fontId="0" fillId="0" borderId="37" xfId="0" applyNumberFormat="1" applyBorder="1" applyAlignment="1" applyProtection="1">
      <alignment vertical="center"/>
      <protection hidden="1"/>
    </xf>
    <xf numFmtId="0" fontId="25" fillId="0" borderId="0" xfId="0" applyFont="1" applyAlignment="1" applyProtection="1">
      <alignment vertical="center"/>
      <protection hidden="1"/>
    </xf>
    <xf numFmtId="169" fontId="12" fillId="0" borderId="0" xfId="0" applyNumberFormat="1" applyFont="1" applyAlignment="1">
      <alignment vertical="center"/>
    </xf>
    <xf numFmtId="9" fontId="0" fillId="0" borderId="0" xfId="0" applyNumberFormat="1" applyAlignment="1" applyProtection="1">
      <alignment horizontal="left" vertical="top"/>
      <protection hidden="1"/>
    </xf>
    <xf numFmtId="0" fontId="0" fillId="11" borderId="44" xfId="0" applyFill="1" applyBorder="1" applyAlignment="1">
      <alignment horizontal="left"/>
    </xf>
    <xf numFmtId="0" fontId="0" fillId="11" borderId="44" xfId="0" applyFill="1" applyBorder="1"/>
    <xf numFmtId="0" fontId="0" fillId="0" borderId="44" xfId="0" applyBorder="1" applyAlignment="1">
      <alignment horizontal="left"/>
    </xf>
    <xf numFmtId="0" fontId="0" fillId="0" borderId="44" xfId="0" applyBorder="1"/>
    <xf numFmtId="0" fontId="13" fillId="7" borderId="42" xfId="0" applyFont="1" applyFill="1" applyBorder="1" applyAlignment="1">
      <alignment horizontal="left"/>
    </xf>
    <xf numFmtId="0" fontId="4" fillId="6" borderId="4" xfId="0" applyFont="1" applyFill="1" applyBorder="1" applyAlignment="1" applyProtection="1">
      <alignment horizontal="right" vertical="center"/>
      <protection hidden="1"/>
    </xf>
    <xf numFmtId="165" fontId="4" fillId="0" borderId="5" xfId="0" applyNumberFormat="1" applyFont="1" applyBorder="1" applyAlignment="1" applyProtection="1">
      <alignment vertical="center"/>
      <protection hidden="1"/>
    </xf>
    <xf numFmtId="0" fontId="13" fillId="7" borderId="44" xfId="0" applyFont="1" applyFill="1" applyBorder="1"/>
    <xf numFmtId="0" fontId="15" fillId="0" borderId="0" xfId="0" applyFont="1" applyAlignment="1" applyProtection="1">
      <alignment vertical="top"/>
      <protection hidden="1"/>
    </xf>
    <xf numFmtId="165" fontId="0" fillId="0" borderId="0" xfId="0" applyNumberFormat="1" applyProtection="1">
      <protection hidden="1"/>
    </xf>
    <xf numFmtId="165" fontId="23" fillId="5" borderId="30" xfId="0" applyNumberFormat="1" applyFont="1" applyFill="1" applyBorder="1" applyAlignment="1" applyProtection="1">
      <alignment horizontal="left" vertical="center"/>
      <protection locked="0"/>
    </xf>
    <xf numFmtId="49" fontId="23" fillId="5" borderId="30" xfId="0" applyNumberFormat="1" applyFont="1" applyFill="1" applyBorder="1" applyAlignment="1" applyProtection="1">
      <alignment horizontal="left" vertical="center"/>
      <protection locked="0"/>
    </xf>
    <xf numFmtId="49" fontId="23" fillId="5" borderId="30" xfId="0" applyNumberFormat="1" applyFont="1" applyFill="1" applyBorder="1" applyAlignment="1" applyProtection="1">
      <alignment vertical="center"/>
      <protection locked="0"/>
    </xf>
    <xf numFmtId="165" fontId="4" fillId="0" borderId="1" xfId="0" applyNumberFormat="1" applyFont="1" applyBorder="1" applyAlignment="1" applyProtection="1">
      <alignment horizontal="left" vertical="center"/>
      <protection locked="0"/>
    </xf>
    <xf numFmtId="49" fontId="4" fillId="0" borderId="1" xfId="0" applyNumberFormat="1" applyFont="1" applyBorder="1" applyAlignment="1" applyProtection="1">
      <alignment horizontal="left" vertical="center"/>
      <protection locked="0"/>
    </xf>
    <xf numFmtId="49" fontId="4" fillId="0" borderId="1" xfId="0" applyNumberFormat="1" applyFont="1" applyBorder="1" applyAlignment="1" applyProtection="1">
      <alignment vertical="center"/>
      <protection locked="0"/>
    </xf>
    <xf numFmtId="165" fontId="23" fillId="5" borderId="31" xfId="0" applyNumberFormat="1" applyFont="1" applyFill="1" applyBorder="1" applyAlignment="1" applyProtection="1">
      <alignment horizontal="left" vertical="center"/>
      <protection locked="0"/>
    </xf>
    <xf numFmtId="49" fontId="23" fillId="5" borderId="31" xfId="0" applyNumberFormat="1" applyFont="1" applyFill="1" applyBorder="1" applyAlignment="1" applyProtection="1">
      <alignment horizontal="left" vertical="center"/>
      <protection locked="0"/>
    </xf>
    <xf numFmtId="49" fontId="23" fillId="5" borderId="31" xfId="0" applyNumberFormat="1" applyFont="1" applyFill="1" applyBorder="1" applyAlignment="1" applyProtection="1">
      <alignment vertical="center"/>
      <protection locked="0"/>
    </xf>
    <xf numFmtId="165" fontId="23" fillId="5" borderId="45" xfId="0" applyNumberFormat="1" applyFont="1" applyFill="1" applyBorder="1" applyAlignment="1" applyProtection="1">
      <alignment horizontal="left" vertical="center"/>
      <protection locked="0"/>
    </xf>
    <xf numFmtId="49" fontId="23" fillId="5" borderId="45" xfId="0" applyNumberFormat="1" applyFont="1" applyFill="1" applyBorder="1" applyAlignment="1" applyProtection="1">
      <alignment horizontal="left" vertical="center"/>
      <protection locked="0"/>
    </xf>
    <xf numFmtId="49" fontId="23" fillId="5" borderId="45" xfId="0" applyNumberFormat="1" applyFont="1" applyFill="1" applyBorder="1" applyAlignment="1" applyProtection="1">
      <alignment vertical="center"/>
      <protection locked="0"/>
    </xf>
    <xf numFmtId="0" fontId="4" fillId="0" borderId="3" xfId="0" applyFont="1" applyBorder="1" applyAlignment="1">
      <alignment horizontal="center" vertical="center"/>
    </xf>
    <xf numFmtId="0" fontId="4" fillId="0" borderId="3" xfId="0" applyFont="1" applyBorder="1" applyAlignment="1">
      <alignment vertical="center"/>
    </xf>
    <xf numFmtId="165" fontId="5" fillId="0" borderId="1" xfId="0" applyNumberFormat="1" applyFont="1" applyBorder="1" applyAlignment="1" applyProtection="1">
      <alignment horizontal="left" vertical="center"/>
      <protection locked="0"/>
    </xf>
    <xf numFmtId="165" fontId="5" fillId="0" borderId="1" xfId="0" applyNumberFormat="1" applyFont="1" applyBorder="1" applyAlignment="1">
      <alignment horizontal="left" vertical="center"/>
    </xf>
    <xf numFmtId="0" fontId="5" fillId="2" borderId="3" xfId="0" applyFont="1" applyFill="1" applyBorder="1" applyAlignment="1">
      <alignment vertical="center"/>
    </xf>
    <xf numFmtId="0" fontId="5" fillId="2" borderId="4" xfId="0" applyFont="1" applyFill="1" applyBorder="1" applyAlignment="1">
      <alignment vertical="center"/>
    </xf>
    <xf numFmtId="0" fontId="5" fillId="2" borderId="5" xfId="0" applyFont="1" applyFill="1" applyBorder="1" applyAlignment="1">
      <alignment vertical="center"/>
    </xf>
    <xf numFmtId="0" fontId="5" fillId="3" borderId="5" xfId="0" applyFont="1" applyFill="1" applyBorder="1" applyAlignment="1" applyProtection="1">
      <alignment vertical="center"/>
      <protection hidden="1"/>
    </xf>
    <xf numFmtId="0" fontId="4" fillId="3" borderId="3" xfId="0" applyFont="1" applyFill="1" applyBorder="1" applyAlignment="1">
      <alignment vertical="center"/>
    </xf>
    <xf numFmtId="165" fontId="23" fillId="12" borderId="1" xfId="0" applyNumberFormat="1" applyFont="1" applyFill="1" applyBorder="1" applyAlignment="1">
      <alignment horizontal="left" vertical="center"/>
    </xf>
    <xf numFmtId="49" fontId="23" fillId="12" borderId="1" xfId="0" applyNumberFormat="1" applyFont="1" applyFill="1" applyBorder="1" applyAlignment="1" applyProtection="1">
      <alignment horizontal="left" vertical="center"/>
      <protection locked="0"/>
    </xf>
    <xf numFmtId="49" fontId="23" fillId="12" borderId="1" xfId="0" applyNumberFormat="1" applyFont="1" applyFill="1" applyBorder="1" applyAlignment="1" applyProtection="1">
      <alignment vertical="center"/>
      <protection locked="0"/>
    </xf>
    <xf numFmtId="165" fontId="4" fillId="0" borderId="1" xfId="0" applyNumberFormat="1" applyFont="1" applyBorder="1" applyAlignment="1">
      <alignment horizontal="left" vertical="center"/>
    </xf>
    <xf numFmtId="0" fontId="4" fillId="0" borderId="5" xfId="0" applyFont="1" applyBorder="1"/>
    <xf numFmtId="0" fontId="4" fillId="0" borderId="4" xfId="0" applyFont="1" applyBorder="1"/>
    <xf numFmtId="0" fontId="4" fillId="0" borderId="1" xfId="0" applyFont="1" applyBorder="1"/>
    <xf numFmtId="0" fontId="5" fillId="0" borderId="10" xfId="0" applyFont="1" applyBorder="1" applyAlignment="1">
      <alignment vertical="center"/>
    </xf>
    <xf numFmtId="0" fontId="7" fillId="0" borderId="0" xfId="0" applyFont="1" applyAlignment="1">
      <alignment vertical="center"/>
    </xf>
    <xf numFmtId="0" fontId="5" fillId="6" borderId="1" xfId="0" applyFont="1" applyFill="1" applyBorder="1" applyAlignment="1">
      <alignment horizontal="left" vertical="center"/>
    </xf>
    <xf numFmtId="49" fontId="5" fillId="6" borderId="5" xfId="0" applyNumberFormat="1" applyFont="1" applyFill="1" applyBorder="1" applyAlignment="1">
      <alignment horizontal="left" vertical="center"/>
    </xf>
    <xf numFmtId="49" fontId="5" fillId="6" borderId="5" xfId="0" applyNumberFormat="1" applyFont="1" applyFill="1" applyBorder="1" applyAlignment="1">
      <alignment vertical="center"/>
    </xf>
    <xf numFmtId="1" fontId="0" fillId="0" borderId="0" xfId="0" applyNumberFormat="1" applyProtection="1">
      <protection hidden="1"/>
    </xf>
    <xf numFmtId="3" fontId="0" fillId="0" borderId="0" xfId="0" applyNumberFormat="1" applyProtection="1">
      <protection hidden="1"/>
    </xf>
    <xf numFmtId="0" fontId="4" fillId="13" borderId="27" xfId="0" applyFont="1" applyFill="1" applyBorder="1" applyAlignment="1">
      <alignment horizontal="left" vertical="center"/>
    </xf>
    <xf numFmtId="0" fontId="4" fillId="13" borderId="21" xfId="0" applyFont="1" applyFill="1" applyBorder="1" applyAlignment="1">
      <alignment horizontal="left" vertical="center"/>
    </xf>
    <xf numFmtId="0" fontId="4" fillId="5" borderId="24" xfId="0" applyFont="1" applyFill="1" applyBorder="1" applyAlignment="1">
      <alignment horizontal="left" vertical="center"/>
    </xf>
    <xf numFmtId="22" fontId="0" fillId="0" borderId="0" xfId="0" applyNumberFormat="1" applyAlignment="1" applyProtection="1">
      <alignment horizontal="left" vertical="center"/>
      <protection hidden="1"/>
    </xf>
    <xf numFmtId="165" fontId="4" fillId="0" borderId="3" xfId="0" applyNumberFormat="1" applyFont="1" applyBorder="1" applyAlignment="1" applyProtection="1">
      <alignment horizontal="left" vertical="center"/>
      <protection locked="0"/>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pplyProtection="1">
      <alignment vertical="center"/>
      <protection locked="0"/>
    </xf>
    <xf numFmtId="0" fontId="5" fillId="0" borderId="0" xfId="0" applyFont="1" applyAlignment="1" applyProtection="1">
      <alignment horizontal="left" vertical="center"/>
      <protection hidden="1"/>
    </xf>
    <xf numFmtId="0" fontId="4" fillId="3" borderId="8" xfId="0" applyFont="1" applyFill="1" applyBorder="1" applyAlignment="1" applyProtection="1">
      <alignment vertical="center"/>
      <protection hidden="1"/>
    </xf>
    <xf numFmtId="0" fontId="5" fillId="3" borderId="6" xfId="0" applyFont="1" applyFill="1" applyBorder="1" applyAlignment="1" applyProtection="1">
      <alignment horizontal="right" vertical="center"/>
      <protection hidden="1"/>
    </xf>
    <xf numFmtId="0" fontId="4" fillId="5" borderId="46" xfId="0" applyFont="1" applyFill="1" applyBorder="1" applyAlignment="1" applyProtection="1">
      <alignment horizontal="left" vertical="center"/>
      <protection locked="0"/>
    </xf>
    <xf numFmtId="0" fontId="4" fillId="5" borderId="47" xfId="0" applyFont="1" applyFill="1" applyBorder="1" applyAlignment="1" applyProtection="1">
      <alignment horizontal="left" vertical="center"/>
      <protection locked="0"/>
    </xf>
    <xf numFmtId="165" fontId="4" fillId="5" borderId="48" xfId="0" applyNumberFormat="1" applyFont="1" applyFill="1" applyBorder="1" applyAlignment="1" applyProtection="1">
      <alignment vertical="center"/>
      <protection locked="0"/>
    </xf>
    <xf numFmtId="165" fontId="4" fillId="6" borderId="7" xfId="0" applyNumberFormat="1" applyFont="1" applyFill="1" applyBorder="1" applyAlignment="1">
      <alignment vertical="center"/>
    </xf>
    <xf numFmtId="0" fontId="4" fillId="3" borderId="8" xfId="0" applyFont="1" applyFill="1" applyBorder="1" applyAlignment="1">
      <alignment vertical="center"/>
    </xf>
    <xf numFmtId="0" fontId="4" fillId="14" borderId="27" xfId="0" applyFont="1" applyFill="1" applyBorder="1" applyAlignment="1">
      <alignment vertical="center"/>
    </xf>
    <xf numFmtId="0" fontId="4" fillId="14" borderId="21" xfId="0" applyFont="1" applyFill="1" applyBorder="1" applyAlignment="1">
      <alignment vertical="center"/>
    </xf>
    <xf numFmtId="0" fontId="28" fillId="0" borderId="0" xfId="0" applyFont="1" applyAlignment="1">
      <alignment horizontal="left" vertical="top" wrapText="1"/>
    </xf>
    <xf numFmtId="6" fontId="36" fillId="0" borderId="49" xfId="0" applyNumberFormat="1" applyFont="1" applyBorder="1" applyAlignment="1">
      <alignment vertical="center"/>
    </xf>
    <xf numFmtId="6" fontId="36" fillId="0" borderId="50" xfId="0" applyNumberFormat="1" applyFont="1" applyBorder="1" applyAlignment="1">
      <alignment vertical="center"/>
    </xf>
    <xf numFmtId="6" fontId="36" fillId="15" borderId="49" xfId="0" applyNumberFormat="1" applyFont="1" applyFill="1" applyBorder="1" applyAlignment="1">
      <alignment vertical="center"/>
    </xf>
    <xf numFmtId="6" fontId="36" fillId="15" borderId="50" xfId="0" applyNumberFormat="1" applyFont="1" applyFill="1" applyBorder="1" applyAlignment="1">
      <alignment vertical="center"/>
    </xf>
    <xf numFmtId="0" fontId="5" fillId="3" borderId="3" xfId="0" applyFont="1" applyFill="1" applyBorder="1" applyAlignment="1" applyProtection="1">
      <alignment vertical="top"/>
      <protection hidden="1"/>
    </xf>
    <xf numFmtId="0" fontId="4" fillId="5" borderId="3"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top" wrapText="1"/>
      <protection locked="0"/>
    </xf>
    <xf numFmtId="0" fontId="4" fillId="5" borderId="5" xfId="0" applyFont="1" applyFill="1" applyBorder="1" applyAlignment="1" applyProtection="1">
      <alignment horizontal="center" vertical="top" wrapText="1"/>
      <protection locked="0"/>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pplyAlignment="1">
      <alignment horizontal="center" vertical="center"/>
    </xf>
    <xf numFmtId="0" fontId="28" fillId="0" borderId="0" xfId="0" applyFont="1" applyAlignment="1">
      <alignment vertical="top" wrapText="1"/>
    </xf>
    <xf numFmtId="0" fontId="27" fillId="0" borderId="0" xfId="0" applyFont="1" applyAlignment="1">
      <alignment vertical="top" wrapText="1"/>
    </xf>
    <xf numFmtId="0" fontId="13" fillId="7" borderId="51" xfId="0" applyFont="1" applyFill="1" applyBorder="1"/>
    <xf numFmtId="0" fontId="4" fillId="6" borderId="3" xfId="0" applyFont="1" applyFill="1" applyBorder="1" applyAlignment="1">
      <alignment horizontal="left" vertical="center"/>
    </xf>
    <xf numFmtId="0" fontId="4" fillId="5" borderId="1" xfId="0" applyFont="1" applyFill="1" applyBorder="1" applyAlignment="1" applyProtection="1">
      <alignment horizontal="center" vertical="top" wrapText="1"/>
      <protection locked="0"/>
    </xf>
    <xf numFmtId="0" fontId="4" fillId="0" borderId="3" xfId="0" applyFont="1" applyBorder="1" applyAlignment="1">
      <alignment horizontal="left"/>
    </xf>
    <xf numFmtId="0" fontId="4" fillId="0" borderId="5" xfId="0" applyFont="1" applyBorder="1" applyAlignment="1">
      <alignment horizontal="left"/>
    </xf>
    <xf numFmtId="3" fontId="4" fillId="0" borderId="3" xfId="0" applyNumberFormat="1" applyFont="1" applyBorder="1" applyAlignment="1">
      <alignment horizontal="left"/>
    </xf>
    <xf numFmtId="3" fontId="4" fillId="0" borderId="5" xfId="0" applyNumberFormat="1" applyFont="1" applyBorder="1" applyAlignment="1">
      <alignment horizontal="left"/>
    </xf>
    <xf numFmtId="14" fontId="4" fillId="0" borderId="3" xfId="0" applyNumberFormat="1" applyFont="1" applyBorder="1" applyAlignment="1">
      <alignment horizontal="left"/>
    </xf>
    <xf numFmtId="14" fontId="4" fillId="0" borderId="5" xfId="0" applyNumberFormat="1" applyFont="1" applyBorder="1" applyAlignment="1">
      <alignment horizontal="left"/>
    </xf>
    <xf numFmtId="1" fontId="4" fillId="0" borderId="3" xfId="0" applyNumberFormat="1" applyFont="1" applyBorder="1" applyAlignment="1">
      <alignment horizontal="left"/>
    </xf>
    <xf numFmtId="1" fontId="4" fillId="0" borderId="5" xfId="0" applyNumberFormat="1" applyFont="1" applyBorder="1" applyAlignment="1">
      <alignment horizontal="left"/>
    </xf>
    <xf numFmtId="0" fontId="26" fillId="4" borderId="0" xfId="0" applyFont="1" applyFill="1" applyAlignment="1">
      <alignment horizontal="left" vertical="top" wrapText="1"/>
    </xf>
    <xf numFmtId="0" fontId="9" fillId="0" borderId="10" xfId="0" applyFont="1" applyBorder="1" applyAlignment="1">
      <alignment horizontal="center" vertical="center" wrapText="1"/>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6"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4" fillId="5" borderId="3"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top" wrapText="1"/>
      <protection locked="0"/>
    </xf>
    <xf numFmtId="0" fontId="4" fillId="5" borderId="5" xfId="0" applyFont="1" applyFill="1" applyBorder="1" applyAlignment="1" applyProtection="1">
      <alignment horizontal="center" vertical="top" wrapText="1"/>
      <protection locked="0"/>
    </xf>
    <xf numFmtId="0" fontId="4" fillId="12" borderId="3" xfId="0" applyFont="1" applyFill="1" applyBorder="1" applyAlignment="1">
      <alignment horizontal="left" vertical="center"/>
    </xf>
    <xf numFmtId="0" fontId="4" fillId="12" borderId="4" xfId="0" applyFont="1" applyFill="1" applyBorder="1" applyAlignment="1">
      <alignment horizontal="left" vertical="center"/>
    </xf>
    <xf numFmtId="0" fontId="4" fillId="12" borderId="5" xfId="0" applyFont="1" applyFill="1" applyBorder="1" applyAlignment="1">
      <alignment horizontal="left" vertical="center"/>
    </xf>
    <xf numFmtId="0" fontId="4" fillId="5" borderId="3" xfId="0" applyFont="1" applyFill="1" applyBorder="1" applyAlignment="1" applyProtection="1">
      <alignment horizontal="left" vertical="center"/>
      <protection locked="0"/>
    </xf>
    <xf numFmtId="0" fontId="4" fillId="5" borderId="4" xfId="0" applyFont="1" applyFill="1" applyBorder="1" applyAlignment="1" applyProtection="1">
      <alignment horizontal="left" vertical="center"/>
      <protection locked="0"/>
    </xf>
    <xf numFmtId="0" fontId="4" fillId="5" borderId="5" xfId="0" applyFont="1" applyFill="1" applyBorder="1" applyAlignment="1" applyProtection="1">
      <alignment horizontal="left" vertical="center"/>
      <protection locked="0"/>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3" xfId="0" applyFont="1" applyFill="1" applyBorder="1" applyAlignment="1">
      <alignment horizontal="left" vertical="center"/>
    </xf>
    <xf numFmtId="0" fontId="10" fillId="2" borderId="4" xfId="0" applyFont="1" applyFill="1" applyBorder="1" applyAlignment="1">
      <alignment horizontal="left" vertical="center"/>
    </xf>
    <xf numFmtId="0" fontId="10" fillId="2" borderId="5" xfId="0" applyFont="1" applyFill="1" applyBorder="1" applyAlignment="1">
      <alignment horizontal="left" vertical="center"/>
    </xf>
    <xf numFmtId="0" fontId="5" fillId="3" borderId="3" xfId="0" applyFont="1" applyFill="1" applyBorder="1" applyAlignment="1">
      <alignment horizontal="right" vertical="center"/>
    </xf>
    <xf numFmtId="0" fontId="5" fillId="3" borderId="4" xfId="0" applyFont="1" applyFill="1" applyBorder="1" applyAlignment="1">
      <alignment horizontal="right" vertical="center"/>
    </xf>
    <xf numFmtId="2" fontId="4" fillId="5" borderId="52" xfId="0" applyNumberFormat="1" applyFont="1" applyFill="1" applyBorder="1" applyAlignment="1" applyProtection="1">
      <alignment horizontal="center" vertical="center"/>
      <protection locked="0"/>
    </xf>
    <xf numFmtId="2" fontId="4" fillId="5" borderId="4" xfId="0" applyNumberFormat="1" applyFont="1" applyFill="1" applyBorder="1" applyAlignment="1" applyProtection="1">
      <alignment horizontal="center" vertical="center"/>
      <protection locked="0"/>
    </xf>
    <xf numFmtId="2" fontId="4" fillId="5" borderId="5" xfId="0" applyNumberFormat="1" applyFont="1" applyFill="1" applyBorder="1" applyAlignment="1" applyProtection="1">
      <alignment horizontal="center" vertical="center"/>
      <protection locked="0"/>
    </xf>
    <xf numFmtId="0" fontId="37" fillId="0" borderId="3" xfId="0" applyFont="1" applyBorder="1" applyAlignment="1">
      <alignment horizontal="left" vertical="top" wrapText="1"/>
    </xf>
    <xf numFmtId="0" fontId="37" fillId="0" borderId="4" xfId="0" applyFont="1" applyBorder="1" applyAlignment="1">
      <alignment horizontal="left" vertical="top" wrapText="1"/>
    </xf>
    <xf numFmtId="0" fontId="4" fillId="0" borderId="11" xfId="0" applyFont="1" applyBorder="1" applyAlignment="1">
      <alignment horizontal="center" vertical="center"/>
    </xf>
    <xf numFmtId="0" fontId="27" fillId="0" borderId="0" xfId="0" applyFont="1" applyAlignment="1">
      <alignment horizontal="left" vertical="top" wrapText="1"/>
    </xf>
    <xf numFmtId="0" fontId="28" fillId="0" borderId="0" xfId="0" applyFont="1" applyAlignment="1">
      <alignment horizontal="left" vertical="top" wrapText="1"/>
    </xf>
    <xf numFmtId="0" fontId="31" fillId="0" borderId="0" xfId="0" applyFont="1" applyAlignment="1">
      <alignment horizontal="left" vertical="top" wrapText="1"/>
    </xf>
  </cellXfs>
  <cellStyles count="4">
    <cellStyle name="20% - Accent5" xfId="3" builtinId="46"/>
    <cellStyle name="Hyperlink" xfId="2" builtinId="8"/>
    <cellStyle name="Procent" xfId="1" builtinId="5"/>
    <cellStyle name="Standaard" xfId="0" builtinId="0"/>
  </cellStyles>
  <dxfs count="405">
    <dxf>
      <font>
        <color rgb="FFFF0000"/>
      </font>
    </dxf>
    <dxf>
      <fill>
        <patternFill>
          <bgColor rgb="FFCBDEDF"/>
        </patternFill>
      </fill>
    </dxf>
    <dxf>
      <font>
        <color rgb="FFFF0000"/>
      </font>
    </dxf>
    <dxf>
      <font>
        <b/>
        <i val="0"/>
        <color rgb="FFFF0000"/>
      </font>
      <fill>
        <patternFill patternType="solid">
          <bgColor theme="7" tint="0.79998168889431442"/>
        </patternFill>
      </fill>
    </dxf>
    <dxf>
      <fill>
        <patternFill>
          <bgColor theme="4" tint="0.39994506668294322"/>
        </patternFill>
      </fill>
    </dxf>
    <dxf>
      <fill>
        <patternFill>
          <bgColor rgb="FFCBDEDF"/>
        </patternFill>
      </fill>
    </dxf>
    <dxf>
      <font>
        <color theme="0"/>
      </font>
    </dxf>
    <dxf>
      <font>
        <color rgb="FFFF0000"/>
      </font>
    </dxf>
    <dxf>
      <numFmt numFmtId="165" formatCode="&quot;€&quot;\ #,##0"/>
      <protection locked="1" hidden="1"/>
    </dxf>
    <dxf>
      <numFmt numFmtId="165" formatCode="&quot;€&quot;\ #,##0"/>
      <protection locked="1" hidden="1"/>
    </dxf>
    <dxf>
      <numFmt numFmtId="0" formatCode="General"/>
      <protection locked="1" hidden="1"/>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protection locked="1" hidden="1"/>
    </dxf>
    <dxf>
      <protection locked="1" hidden="1"/>
    </dxf>
    <dxf>
      <protection locked="1" hidden="1"/>
    </dxf>
    <dxf>
      <numFmt numFmtId="165" formatCode="&quot;€&quot;\ #,##0"/>
      <protection locked="1" hidden="1"/>
    </dxf>
    <dxf>
      <numFmt numFmtId="165" formatCode="&quot;€&quot;\ #,##0"/>
      <protection locked="1" hidden="1"/>
    </dxf>
    <dxf>
      <border outline="0">
        <bottom style="medium">
          <color indexed="64"/>
        </bottom>
      </border>
    </dxf>
    <dxf>
      <font>
        <b/>
        <i val="0"/>
        <strike val="0"/>
        <condense val="0"/>
        <extend val="0"/>
        <outline val="0"/>
        <shadow val="0"/>
        <u val="none"/>
        <vertAlign val="baseline"/>
        <sz val="11"/>
        <color theme="1"/>
        <name val="Calibri"/>
        <family val="2"/>
        <scheme val="minor"/>
      </font>
      <protection locked="1" hidden="1"/>
    </dxf>
    <dxf>
      <protection locked="1" hidden="1"/>
    </dxf>
    <dxf>
      <protection locked="1" hidden="1"/>
    </dxf>
    <dxf>
      <protection locked="1" hidden="1"/>
    </dxf>
    <dxf>
      <protection locked="1" hidden="1"/>
    </dxf>
    <dxf>
      <protection locked="1" hidden="1"/>
    </dxf>
    <dxf>
      <protection locked="1" hidden="1"/>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protection locked="1" hidden="1"/>
    </dxf>
    <dxf>
      <protection locked="1" hidden="1"/>
    </dxf>
    <dxf>
      <protection locked="1" hidden="1"/>
    </dxf>
    <dxf>
      <font>
        <b val="0"/>
        <i val="0"/>
        <strike val="0"/>
        <condense val="0"/>
        <extend val="0"/>
        <outline val="0"/>
        <shadow val="0"/>
        <u val="none"/>
        <vertAlign val="baseline"/>
        <sz val="11"/>
        <color theme="1"/>
        <name val="Calibri"/>
        <family val="2"/>
        <scheme val="minor"/>
      </font>
      <numFmt numFmtId="3" formatCode="#,##0"/>
      <alignment horizontal="general" vertical="center" textRotation="0" wrapText="0" indent="0" justifyLastLine="0" shrinkToFit="0" readingOrder="0"/>
      <border diagonalUp="0" diagonalDown="0">
        <left/>
        <right style="medium">
          <color indexed="64"/>
        </right>
        <top/>
        <bottom/>
        <vertical/>
        <horizontal/>
      </border>
      <protection locked="1" hidden="1"/>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border diagonalUp="0" diagonalDown="0">
        <left style="medium">
          <color indexed="64"/>
        </left>
        <right/>
        <top/>
        <bottom/>
        <vertical/>
        <horizontal/>
      </border>
      <protection locked="1" hidden="1"/>
    </dxf>
    <dxf>
      <border outline="0">
        <bottom style="medium">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protection locked="1" hidden="1"/>
    </dxf>
    <dxf>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protection locked="1" hidden="1"/>
    </dxf>
    <dxf>
      <protection locked="1" hidden="1"/>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numFmt numFmtId="0" formatCode="General"/>
      <border diagonalUp="0" diagonalDown="0">
        <left/>
        <right/>
        <top style="thin">
          <color theme="4" tint="0.39997558519241921"/>
        </top>
        <bottom style="thin">
          <color theme="4" tint="0.39997558519241921"/>
        </bottom>
        <vertical/>
        <horizontal/>
      </border>
    </dxf>
    <dxf>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font>
        <b val="0"/>
        <i val="0"/>
        <strike val="0"/>
        <condense val="0"/>
        <extend val="0"/>
        <outline val="0"/>
        <shadow val="0"/>
        <u val="none"/>
        <vertAlign val="baseline"/>
        <sz val="10"/>
        <color theme="1"/>
        <name val="Calibri"/>
        <scheme val="minor"/>
      </font>
      <alignment horizontal="left" vertical="bottom" textRotation="0" wrapText="0" indent="0" justifyLastLine="0" shrinkToFit="0" readingOrder="0"/>
      <protection locked="1" hidden="1"/>
    </dxf>
    <dxf>
      <protection locked="1" hidden="1"/>
    </dxf>
    <dxf>
      <font>
        <strike val="0"/>
        <outline val="0"/>
        <shadow val="0"/>
        <u val="none"/>
        <vertAlign val="baseline"/>
        <sz val="10"/>
        <color theme="1"/>
        <name val="Calibri"/>
        <scheme val="minor"/>
      </font>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alignment horizontal="left" vertical="bottom" textRotation="0" wrapText="0" indent="0" justifyLastLine="0" shrinkToFit="0" readingOrder="0"/>
      <protection locked="1" hidden="1"/>
    </dxf>
    <dxf>
      <alignment horizontal="left" vertical="bottom" textRotation="0" wrapText="0" indent="0" justifyLastLine="0" shrinkToFit="0" readingOrder="0"/>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1" formatCode="0"/>
      <protection locked="1" hidden="1"/>
    </dxf>
    <dxf>
      <numFmt numFmtId="14" formatCode="0.00%"/>
      <protection locked="1" hidden="1"/>
    </dxf>
    <dxf>
      <numFmt numFmtId="14" formatCode="0.00%"/>
      <protection locked="1" hidden="1"/>
    </dxf>
    <dxf>
      <numFmt numFmtId="14" formatCode="0.00%"/>
      <protection locked="1" hidden="1"/>
    </dxf>
    <dxf>
      <numFmt numFmtId="14" formatCode="0.00%"/>
      <protection locked="1" hidden="1"/>
    </dxf>
    <dxf>
      <numFmt numFmtId="14" formatCode="0.00%"/>
      <protection locked="1" hidden="1"/>
    </dxf>
    <dxf>
      <numFmt numFmtId="14" formatCode="0.00%"/>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numFmt numFmtId="0" formatCode="General"/>
      <protection locked="1" hidden="1"/>
    </dxf>
    <dxf>
      <protection locked="1" hidden="1"/>
    </dxf>
    <dxf>
      <protection locked="1" hidden="1"/>
    </dxf>
    <dxf>
      <protection locked="1" hidden="1"/>
    </dxf>
    <dxf>
      <numFmt numFmtId="0" formatCode="General"/>
      <alignment horizontal="general" vertical="top" textRotation="0" wrapText="1" indent="0" justifyLastLine="0" shrinkToFit="0" readingOrder="0"/>
      <protection locked="1" hidden="1"/>
    </dxf>
    <dxf>
      <alignment horizontal="general" vertical="top" textRotation="0" wrapText="1" indent="0" justifyLastLine="0" shrinkToFit="0" readingOrder="0"/>
      <protection locked="1" hidden="1"/>
    </dxf>
    <dxf>
      <alignment horizontal="general" vertical="top" textRotation="0" wrapText="1" indent="0" justifyLastLine="0" shrinkToFit="0" readingOrder="0"/>
      <protection locked="1" hidden="1"/>
    </dxf>
    <dxf>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protection locked="1" hidden="1"/>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auto="1"/>
        </left>
        <right style="thin">
          <color indexed="64"/>
        </right>
        <top style="hair">
          <color auto="1"/>
        </top>
        <bottom style="hair">
          <color auto="1"/>
        </bottom>
        <vertical/>
        <horizontal/>
      </border>
      <protection locked="1" hidden="1"/>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0" indent="0" justifyLastLine="0" shrinkToFit="0" readingOrder="0"/>
      <protection locked="1" hidden="1"/>
    </dxf>
    <dxf>
      <font>
        <b/>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protection locked="1" hidden="1"/>
    </dxf>
    <dxf>
      <font>
        <b val="0"/>
        <i val="0"/>
        <strike val="0"/>
        <condense val="0"/>
        <extend val="0"/>
        <outline val="0"/>
        <shadow val="0"/>
        <u val="none"/>
        <vertAlign val="baseline"/>
        <sz val="11"/>
        <color theme="1"/>
        <name val="Calibri"/>
        <scheme val="minor"/>
      </font>
      <numFmt numFmtId="166" formatCode="0.0%"/>
      <protection locked="1" hidden="1"/>
    </dxf>
    <dxf>
      <font>
        <b val="0"/>
        <i val="0"/>
        <strike val="0"/>
        <condense val="0"/>
        <extend val="0"/>
        <outline val="0"/>
        <shadow val="0"/>
        <u val="none"/>
        <vertAlign val="baseline"/>
        <sz val="11"/>
        <color rgb="FF013568"/>
        <name val="Calibri"/>
        <scheme val="minor"/>
      </font>
      <numFmt numFmtId="0" formatCode="General"/>
      <protection locked="1" hidden="1"/>
    </dxf>
    <dxf>
      <font>
        <b val="0"/>
        <i val="0"/>
        <strike val="0"/>
        <condense val="0"/>
        <extend val="0"/>
        <outline val="0"/>
        <shadow val="0"/>
        <u val="none"/>
        <vertAlign val="baseline"/>
        <sz val="11"/>
        <color rgb="FF013568"/>
        <name val="Calibri"/>
        <scheme val="minor"/>
      </font>
      <protection locked="1" hidden="1"/>
    </dxf>
    <dxf>
      <font>
        <b val="0"/>
        <i val="0"/>
        <strike val="0"/>
        <condense val="0"/>
        <extend val="0"/>
        <outline val="0"/>
        <shadow val="0"/>
        <u val="none"/>
        <vertAlign val="baseline"/>
        <sz val="11"/>
        <color theme="1"/>
        <name val="Calibri"/>
        <scheme val="minor"/>
      </font>
      <protection locked="1" hidden="1"/>
    </dxf>
    <dxf>
      <protection locked="1" hidden="1"/>
    </dxf>
    <dxf>
      <font>
        <b/>
        <i val="0"/>
        <strike val="0"/>
        <condense val="0"/>
        <extend val="0"/>
        <outline val="0"/>
        <shadow val="0"/>
        <u val="none"/>
        <vertAlign val="baseline"/>
        <sz val="11"/>
        <color theme="1"/>
        <name val="Calibri"/>
        <scheme val="minor"/>
      </font>
      <protection locked="1" hidden="1"/>
    </dxf>
    <dxf>
      <font>
        <b val="0"/>
        <i val="0"/>
        <strike val="0"/>
        <condense val="0"/>
        <extend val="0"/>
        <outline val="0"/>
        <shadow val="0"/>
        <u val="none"/>
        <vertAlign val="baseline"/>
        <sz val="11"/>
        <color rgb="FF000000"/>
        <name val="Calibri"/>
        <scheme val="minor"/>
      </font>
      <numFmt numFmtId="165" formatCode="&quot;€&quot;\ #,##0"/>
      <alignment horizontal="left" vertical="center" textRotation="0" wrapText="0" indent="0" justifyLastLine="0" shrinkToFit="0" readingOrder="0"/>
      <protection locked="1" hidden="1"/>
    </dxf>
    <dxf>
      <font>
        <b val="0"/>
        <i val="0"/>
        <strike val="0"/>
        <condense val="0"/>
        <extend val="0"/>
        <outline val="0"/>
        <shadow val="0"/>
        <u val="none"/>
        <vertAlign val="baseline"/>
        <sz val="11"/>
        <color rgb="FF000000"/>
        <name val="Calibri"/>
        <scheme val="minor"/>
      </font>
      <numFmt numFmtId="165" formatCode="&quot;€&quot;\ #,##0"/>
      <alignment horizontal="left" vertical="center" textRotation="0" wrapText="0" indent="0" justifyLastLine="0" shrinkToFit="0" readingOrder="0"/>
      <protection locked="1" hidden="1"/>
    </dxf>
    <dxf>
      <font>
        <b val="0"/>
        <i val="0"/>
        <strike val="0"/>
        <condense val="0"/>
        <extend val="0"/>
        <outline val="0"/>
        <shadow val="0"/>
        <u val="none"/>
        <vertAlign val="baseline"/>
        <sz val="11"/>
        <color rgb="FF000000"/>
        <name val="Calibri"/>
        <scheme val="minor"/>
      </font>
      <numFmt numFmtId="0" formatCode="General"/>
      <alignment horizontal="left" vertical="center" textRotation="0" wrapText="0"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protection locked="1" hidden="1"/>
    </dxf>
    <dxf>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style="medium">
          <color indexed="64"/>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10"/>
        <color theme="1"/>
        <name val="Calibri"/>
        <scheme val="minor"/>
      </font>
      <numFmt numFmtId="14" formatCode="0.00%"/>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1"/>
        <name val="Calibri"/>
        <scheme val="minor"/>
      </font>
      <numFmt numFmtId="1" formatCode="0"/>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medium">
          <color indexed="64"/>
        </left>
        <right/>
        <top style="thin">
          <color theme="4" tint="0.39997558519241921"/>
        </top>
        <bottom/>
      </border>
      <protection locked="1" hidden="1"/>
    </dxf>
    <dxf>
      <border outline="0">
        <top style="thin">
          <color theme="4" tint="0.39997558519241921"/>
        </top>
        <bottom style="medium">
          <color indexed="64"/>
        </bottom>
      </border>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border outline="0">
        <left style="medium">
          <color indexed="64"/>
        </left>
        <top style="medium">
          <color indexed="64"/>
        </top>
        <bottom style="medium">
          <color indexed="64"/>
        </bottom>
      </border>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border outline="0">
        <left style="medium">
          <color indexed="64"/>
        </left>
        <top style="medium">
          <color indexed="64"/>
        </top>
        <bottom style="medium">
          <color indexed="64"/>
        </bottom>
      </border>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border outline="0">
        <left style="medium">
          <color indexed="64"/>
        </left>
        <top style="medium">
          <color indexed="64"/>
        </top>
        <bottom style="medium">
          <color indexed="64"/>
        </bottom>
      </border>
    </dxf>
    <dxf>
      <font>
        <b val="0"/>
        <i val="0"/>
        <strike val="0"/>
        <condense val="0"/>
        <extend val="0"/>
        <outline val="0"/>
        <shadow val="0"/>
        <u val="none"/>
        <vertAlign val="baseline"/>
        <sz val="11"/>
        <color theme="1"/>
        <name val="Calibri"/>
        <scheme val="minor"/>
      </font>
      <numFmt numFmtId="0" formatCode="General"/>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auto="1"/>
        </left>
        <right style="thin">
          <color indexed="64"/>
        </right>
        <top style="hair">
          <color auto="1"/>
        </top>
        <bottom style="hair">
          <color auto="1"/>
        </bottom>
      </border>
      <protection locked="1" hidden="1"/>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center" textRotation="0" wrapText="0" indent="0" justifyLastLine="0" shrinkToFit="0" readingOrder="0"/>
      <protection locked="1" hidden="1"/>
    </dxf>
    <dxf>
      <font>
        <b/>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165" formatCode="&quot;€&quot;\ #,##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0"/>
        <color theme="1"/>
        <name val="Calibri"/>
        <family val="2"/>
        <scheme val="minor"/>
      </font>
      <numFmt numFmtId="165" formatCode="&quot;€&quot;\ #,##0"/>
      <fill>
        <patternFill patternType="solid">
          <fgColor indexed="64"/>
          <bgColor rgb="FFCBDEDF"/>
        </patternFill>
      </fill>
      <alignment horizontal="general" vertical="center" textRotation="0" wrapText="0" indent="0" justifyLastLine="0" shrinkToFit="0" readingOrder="0"/>
      <border diagonalUp="0" diagonalDown="0">
        <left style="thin">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left" vertical="center" textRotation="0" wrapText="0" indent="0" justifyLastLine="0" shrinkToFit="0" readingOrder="0"/>
      <border diagonalUp="0" diagonalDown="0" outline="0">
        <left style="hair">
          <color auto="1"/>
        </left>
        <right style="thin">
          <color indexed="64"/>
        </right>
        <top/>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auto="1"/>
        </left>
        <right style="thin">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left" vertical="center" textRotation="0" wrapText="0" indent="0" justifyLastLine="0" shrinkToFit="0" readingOrder="0"/>
      <border diagonalUp="0" diagonalDown="0" outline="0">
        <left style="hair">
          <color auto="1"/>
        </left>
        <right/>
        <top/>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style="thin">
          <color indexed="64"/>
        </right>
        <top style="thin">
          <color indexed="64"/>
        </top>
        <bottom/>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style="hair">
          <color auto="1"/>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style="hair">
          <color auto="1"/>
        </bottom>
        <vertical/>
        <horizontal/>
      </border>
      <protection locked="0" hidden="0"/>
    </dxf>
    <dxf>
      <border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numFmt numFmtId="165" formatCode="&quot;€&quot;\ #,##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indexed="65"/>
        </patternFill>
      </fill>
      <alignment horizontal="general" vertical="center" textRotation="0" wrapText="0" indent="0" justifyLastLine="0" shrinkToFit="0" readingOrder="0"/>
      <border diagonalUp="0" diagonalDown="0">
        <left style="thin">
          <color auto="1"/>
        </left>
        <right style="thin">
          <color auto="1"/>
        </right>
        <top style="hair">
          <color auto="1"/>
        </top>
        <bottom style="hair">
          <color auto="1"/>
        </bottom>
        <vertical/>
        <horizontal style="hair">
          <color auto="1"/>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indexed="64"/>
        </left>
        <right style="thin">
          <color indexed="64"/>
        </right>
        <top style="hair">
          <color auto="1"/>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auto="1"/>
        </left>
        <right/>
        <top style="hair">
          <color auto="1"/>
        </top>
        <bottom style="thin">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10"/>
        <color theme="1"/>
        <name val="Calibri"/>
        <scheme val="minor"/>
      </font>
      <numFmt numFmtId="164" formatCode="&quot;€&quot;\ #,##0.00"/>
      <fill>
        <patternFill patternType="solid">
          <fgColor indexed="64"/>
          <bgColor rgb="FFCBDEDF"/>
        </patternFill>
      </fill>
      <alignment horizontal="center" vertical="center" textRotation="0" wrapText="0" indent="0" justifyLastLine="0" shrinkToFit="0" readingOrder="0"/>
      <border diagonalUp="0" diagonalDown="0">
        <left style="hair">
          <color indexed="64"/>
        </left>
        <right style="hair">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 formatCode="0"/>
      <fill>
        <patternFill patternType="solid">
          <fgColor indexed="64"/>
          <bgColor rgb="FFCBDEDF"/>
        </patternFill>
      </fill>
      <alignment horizontal="center" vertical="center" textRotation="0" wrapText="0" indent="0" justifyLastLine="0" shrinkToFit="0" readingOrder="0"/>
      <border diagonalUp="0" diagonalDown="0" outline="0">
        <left style="hair">
          <color indexed="64"/>
        </left>
        <right style="hair">
          <color auto="1"/>
        </right>
        <top style="hair">
          <color auto="1"/>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none">
          <fgColor indexed="64"/>
          <bgColor rgb="FFCBDEDF"/>
        </patternFill>
      </fill>
      <alignment horizontal="left" vertical="center" textRotation="0" wrapText="0" indent="0" justifyLastLine="0" shrinkToFit="0" readingOrder="0"/>
      <border diagonalUp="0" diagonalDown="0">
        <left/>
        <right style="hair">
          <color auto="1"/>
        </right>
        <top style="hair">
          <color indexed="64"/>
        </top>
        <bottom style="hair">
          <color indexed="64"/>
        </bottom>
        <vertical/>
        <horizontal style="hair">
          <color indexed="64"/>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indexed="64"/>
        </left>
        <right/>
        <top style="hair">
          <color indexed="64"/>
        </top>
        <bottom style="hair">
          <color indexed="64"/>
        </bottom>
        <vertical/>
        <horizontal style="hair">
          <color indexed="64"/>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outline="0">
        <left style="thin">
          <color auto="1"/>
        </left>
        <right style="hair">
          <color indexed="64"/>
        </right>
        <top style="hair">
          <color auto="1"/>
        </top>
        <bottom style="hair">
          <color auto="1"/>
        </bottom>
      </border>
      <protection locked="0" hidden="0"/>
    </dxf>
    <dxf>
      <protection locked="1" hidden="1"/>
    </dxf>
    <dxf>
      <border outline="0">
        <right style="thin">
          <color indexed="64"/>
        </right>
        <bottom style="thin">
          <color indexed="64"/>
        </bottom>
      </border>
    </dxf>
    <dxf>
      <font>
        <b val="0"/>
        <i val="0"/>
        <strike val="0"/>
        <condense val="0"/>
        <extend val="0"/>
        <outline val="0"/>
        <shadow val="0"/>
        <u val="none"/>
        <vertAlign val="baseline"/>
        <sz val="10"/>
        <color theme="1"/>
        <name val="Calibri"/>
        <family val="2"/>
        <scheme val="minor"/>
      </font>
      <numFmt numFmtId="165" formatCode="&quot;€&quot;\ #,##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diagonalUp="0" diagonalDown="0">
        <left style="thin">
          <color auto="1"/>
        </left>
        <right style="thin">
          <color auto="1"/>
        </right>
        <top style="hair">
          <color auto="1"/>
        </top>
        <bottom style="hair">
          <color auto="1"/>
        </bottom>
        <vertical/>
        <horizontal style="hair">
          <color auto="1"/>
        </horizontal>
      </border>
    </dxf>
    <dxf>
      <font>
        <b val="0"/>
        <i val="0"/>
        <strike val="0"/>
        <condense val="0"/>
        <extend val="0"/>
        <outline val="0"/>
        <shadow val="0"/>
        <u val="none"/>
        <vertAlign val="baseline"/>
        <sz val="10"/>
        <color theme="1"/>
        <name val="Calibri"/>
        <family val="2"/>
        <scheme val="minor"/>
      </font>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indexed="64"/>
        </left>
        <right style="hair">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center"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center" vertical="center" textRotation="0" wrapText="0" indent="0" justifyLastLine="0" shrinkToFit="0" readingOrder="0"/>
      <border diagonalUp="0" diagonalDown="0">
        <left/>
        <right style="hair">
          <color auto="1"/>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center"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center" vertical="center" textRotation="0" wrapText="0" indent="0" justifyLastLine="0" shrinkToFit="0" readingOrder="0"/>
      <border diagonalUp="0" diagonalDown="0">
        <left/>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style="hair">
          <color auto="1"/>
        </bottom>
        <vertical/>
        <horizontal/>
      </border>
      <protection locked="0" hidden="0"/>
    </dxf>
    <dxf>
      <protection locked="1" hidden="1"/>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Calibri"/>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5" formatCode="&quot;€&quot;\ #,##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general" vertical="center" textRotation="0" wrapText="0"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indexed="64"/>
        </left>
        <right style="thin">
          <color indexed="64"/>
        </right>
        <top style="hair">
          <color auto="1"/>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auto="1"/>
        </left>
        <right/>
        <top style="hair">
          <color auto="1"/>
        </top>
        <bottom/>
        <vertical/>
        <horizontal/>
      </border>
      <protection locked="0" hidden="0"/>
    </dxf>
    <dxf>
      <font>
        <b/>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left/>
        <right style="hair">
          <color auto="1"/>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font>
        <sz val="10"/>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font>
        <sz val="10"/>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font>
        <sz val="10"/>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solid">
          <fgColor indexed="64"/>
          <bgColor rgb="FFCBDEDF"/>
        </patternFill>
      </fill>
      <alignment horizontal="general" vertical="center" textRotation="0" wrapText="0" indent="0" justifyLastLine="0" shrinkToFit="0" readingOrder="0"/>
      <border diagonalUp="0" diagonalDown="0">
        <left/>
        <right/>
        <top style="hair">
          <color auto="1"/>
        </top>
        <bottom/>
        <vertical/>
        <horizontal/>
      </border>
      <protection locked="0" hidden="0"/>
    </dxf>
    <dxf>
      <protection locked="1" hidden="1"/>
    </dxf>
    <dxf>
      <border outline="0">
        <left style="thin">
          <color auto="1"/>
        </left>
        <right style="thin">
          <color indexed="64"/>
        </right>
        <top style="thin">
          <color indexed="64"/>
        </top>
        <bottom style="thin">
          <color auto="1"/>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1"/>
        <name val="Calibri"/>
        <scheme val="minor"/>
      </font>
      <fill>
        <patternFill patternType="none">
          <fgColor indexed="64"/>
          <bgColor indexed="65"/>
        </patternFill>
      </fill>
      <alignment horizontal="left" vertical="center"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165" formatCode="&quot;€&quot;\ #,##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solid">
          <fgColor indexed="64"/>
          <bgColor rgb="FFCBDEDF"/>
        </patternFill>
      </fill>
      <alignment horizontal="general" vertical="center" textRotation="0" wrapText="0" indent="0" justifyLastLine="0" shrinkToFit="0" readingOrder="0"/>
      <border diagonalUp="0" diagonalDown="0">
        <left style="thin">
          <color indexed="64"/>
        </left>
        <right style="thin">
          <color indexed="64"/>
        </right>
        <top style="hair">
          <color indexed="64"/>
        </top>
        <bottom style="hair">
          <color indexed="64"/>
        </bottom>
        <vertical/>
        <horizontal style="hair">
          <color indexed="64"/>
        </horizontal>
      </border>
      <protection locked="0" hidden="0"/>
    </dxf>
    <dxf>
      <font>
        <b/>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vertical/>
        <horizontal/>
      </border>
      <protection locked="0" hidden="0"/>
    </dxf>
    <dxf>
      <font>
        <b/>
        <i val="0"/>
        <strike val="0"/>
        <condense val="0"/>
        <extend val="0"/>
        <outline val="0"/>
        <shadow val="0"/>
        <u val="none"/>
        <vertAlign val="baseline"/>
        <sz val="10"/>
        <color rgb="FFFF0000"/>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style="hair">
          <color auto="1"/>
        </left>
        <right style="hair">
          <color auto="1"/>
        </right>
        <top style="hair">
          <color auto="1"/>
        </top>
        <bottom style="thin">
          <color indexed="64"/>
        </bottom>
        <vertical/>
        <horizontal/>
      </border>
      <protection locked="0" hidden="0"/>
    </dxf>
    <dxf>
      <font>
        <b/>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style="hair">
          <color auto="1"/>
        </right>
        <top style="hair">
          <color auto="1"/>
        </top>
        <bottom style="hair">
          <color auto="1"/>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vertical/>
        <horizontal/>
      </border>
      <protection locked="0" hidden="0"/>
    </dxf>
    <dxf>
      <protection locked="1" hidden="1"/>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Calibri"/>
        <scheme val="min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numFmt numFmtId="9" formatCode="&quot;€&quot;\ #,##0;&quot;€&quot;\ \-#,##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left style="hair">
          <color auto="1"/>
        </left>
        <right style="thin">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10"/>
        <color theme="1"/>
        <name val="Calibri"/>
        <scheme val="minor"/>
      </font>
      <numFmt numFmtId="164" formatCode="&quot;€&quot;\ #,##0.00"/>
      <fill>
        <patternFill patternType="solid">
          <fgColor indexed="64"/>
          <bgColor rgb="FFCBDEDF"/>
        </patternFill>
      </fill>
      <alignment horizontal="left" vertical="center" textRotation="0" wrapText="0" indent="0" justifyLastLine="0" shrinkToFit="0" readingOrder="0"/>
      <border diagonalUp="0" diagonalDown="0">
        <left/>
        <right/>
        <top style="hair">
          <color auto="1"/>
        </top>
        <bottom style="hair">
          <color auto="1"/>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4" formatCode="&quot;€&quot;\ #,##0.00"/>
      <fill>
        <patternFill patternType="solid">
          <fgColor indexed="64"/>
          <bgColor rgb="FFCBDEDF"/>
        </patternFill>
      </fill>
      <alignment horizontal="left" vertical="center" textRotation="0" wrapText="0" indent="0" justifyLastLine="0" shrinkToFit="0" readingOrder="0"/>
      <border diagonalUp="0" diagonalDown="0">
        <left/>
        <right/>
        <top style="hair">
          <color indexed="64"/>
        </top>
        <bottom style="hair">
          <color indexed="64"/>
        </bottom>
        <vertical/>
        <horizontal style="hair">
          <color indexed="64"/>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 formatCode="0"/>
      <fill>
        <patternFill patternType="solid">
          <fgColor indexed="64"/>
          <bgColor rgb="FFCBDEDF"/>
        </patternFill>
      </fill>
      <alignment horizontal="center" vertical="center" textRotation="0" wrapText="0" indent="0" justifyLastLine="0" shrinkToFit="0" readingOrder="0"/>
      <border diagonalUp="0" diagonalDown="0">
        <left/>
        <right/>
        <top style="hair">
          <color indexed="64"/>
        </top>
        <bottom style="hair">
          <color indexed="64"/>
        </bottom>
        <vertical/>
        <horizontal style="hair">
          <color indexed="64"/>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left" vertical="center" textRotation="0" wrapText="0" indent="0" justifyLastLine="0" shrinkToFit="0" readingOrder="0"/>
      <border diagonalUp="0" diagonalDown="0">
        <left/>
        <right/>
        <top style="hair">
          <color indexed="64"/>
        </top>
        <bottom style="hair">
          <color indexed="64"/>
        </bottom>
        <vertical/>
        <horizontal style="hair">
          <color indexed="64"/>
        </horizontal>
      </border>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EDF"/>
        </patternFill>
      </fill>
      <alignment horizontal="general" vertical="center" textRotation="0" wrapText="0" indent="0" justifyLastLine="0" shrinkToFit="0" readingOrder="0"/>
      <border diagonalUp="0" diagonalDown="0">
        <left style="thin">
          <color indexed="64"/>
        </left>
        <right/>
        <top style="hair">
          <color indexed="64"/>
        </top>
        <bottom style="hair">
          <color indexed="64"/>
        </bottom>
        <vertical/>
        <horizontal style="hair">
          <color indexed="64"/>
        </horizontal>
      </border>
      <protection locked="0" hidden="0"/>
    </dxf>
    <dxf>
      <protection locked="1" hidden="1"/>
    </dxf>
    <dxf>
      <border outline="0">
        <left style="thin">
          <color indexed="64"/>
        </left>
        <right style="thin">
          <color indexed="64"/>
        </right>
        <top style="thin">
          <color indexed="64"/>
        </top>
        <bottom style="thin">
          <color auto="1"/>
        </bottom>
      </border>
    </dxf>
    <dxf>
      <font>
        <b/>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numFmt numFmtId="165" formatCode="&quot;€&quot;\ #,##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alignment horizontal="general" vertical="center" textRotation="0" wrapText="0" indent="0" justifyLastLine="0" shrinkToFit="0" readingOrder="0"/>
      <border diagonalUp="0" diagonalDown="0">
        <left style="thin">
          <color indexed="64"/>
        </left>
        <right style="thin">
          <color indexed="64"/>
        </right>
        <top style="hair">
          <color indexed="64"/>
        </top>
        <bottom style="hair">
          <color indexed="64"/>
        </bottom>
        <vertical/>
        <horizontal style="hair">
          <color indexed="64"/>
        </horizontal>
      </border>
      <protection locked="1" hidden="1"/>
    </dxf>
    <dxf>
      <font>
        <b val="0"/>
        <i val="0"/>
        <strike val="0"/>
        <condense val="0"/>
        <extend val="0"/>
        <outline val="0"/>
        <shadow val="0"/>
        <u val="none"/>
        <vertAlign val="baseline"/>
        <sz val="10"/>
        <color theme="1"/>
        <name val="Calibri"/>
        <family val="2"/>
        <scheme val="minor"/>
      </font>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right style="hair">
          <color indexed="64"/>
        </right>
        <top style="hair">
          <color auto="1"/>
        </top>
        <bottom style="hair">
          <color auto="1"/>
        </bottom>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3" formatCode="#,##0"/>
      <fill>
        <patternFill patternType="none">
          <fgColor indexed="64"/>
          <bgColor auto="1"/>
        </patternFill>
      </fill>
      <alignment horizontal="center" vertical="center" textRotation="0" wrapText="0" indent="0" justifyLastLine="0" shrinkToFit="0" readingOrder="0"/>
      <border diagonalUp="0" diagonalDown="0">
        <left/>
        <right/>
        <top style="hair">
          <color auto="1"/>
        </top>
        <bottom style="hair">
          <color auto="1"/>
        </bottom>
      </border>
      <protection locked="1" hidden="1"/>
    </dxf>
    <dxf>
      <font>
        <b val="0"/>
        <i val="0"/>
        <strike val="0"/>
        <condense val="0"/>
        <extend val="0"/>
        <outline val="0"/>
        <shadow val="0"/>
        <u val="none"/>
        <vertAlign val="baseline"/>
        <sz val="10"/>
        <color theme="1"/>
        <name val="Calibri"/>
        <family val="2"/>
        <scheme val="minor"/>
      </font>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auto="1"/>
        </top>
        <bottom style="hair">
          <color auto="1"/>
        </bottom>
        <vertical/>
        <horizontal/>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numFmt numFmtId="3" formatCode="#,##0"/>
      <fill>
        <patternFill patternType="solid">
          <fgColor indexed="64"/>
          <bgColor rgb="FFCBDEDF"/>
        </patternFill>
      </fill>
      <border diagonalUp="0" diagonalDown="0" outline="0">
        <left style="hair">
          <color auto="1"/>
        </left>
        <right/>
        <top style="hair">
          <color indexed="64"/>
        </top>
        <bottom style="hair">
          <color indexed="64"/>
        </bottom>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protection locked="1" hidden="1"/>
    </dxf>
    <dxf>
      <numFmt numFmtId="3" formatCode="#,##0"/>
      <fill>
        <patternFill patternType="none">
          <fgColor indexed="64"/>
          <bgColor auto="1"/>
        </patternFill>
      </fill>
      <border diagonalUp="0" diagonalDown="0">
        <left style="hair">
          <color auto="1"/>
        </left>
        <right/>
        <top style="hair">
          <color indexed="64"/>
        </top>
        <bottom style="hair">
          <color indexed="64"/>
        </bottom>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protection locked="1" hidden="1"/>
    </dxf>
    <dxf>
      <numFmt numFmtId="4" formatCode="#,##0.00"/>
      <fill>
        <patternFill patternType="none">
          <fgColor indexed="64"/>
          <bgColor auto="1"/>
        </patternFill>
      </fill>
      <border diagonalUp="0" diagonalDown="0">
        <left style="hair">
          <color auto="1"/>
        </left>
        <right style="hair">
          <color indexed="64"/>
        </right>
        <top style="hair">
          <color indexed="64"/>
        </top>
        <bottom style="hair">
          <color indexed="64"/>
        </bottom>
      </border>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protection locked="1" hidden="1"/>
    </dxf>
    <dxf>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auto="1"/>
        </left>
        <right style="hair">
          <color auto="1"/>
        </right>
        <top style="hair">
          <color auto="1"/>
        </top>
        <bottom style="hair">
          <color auto="1"/>
        </bottom>
      </border>
      <protection locked="1" hidden="1"/>
    </dxf>
    <dxf>
      <protection locked="1" hidden="1"/>
    </dxf>
    <dxf>
      <border outline="0">
        <left style="thin">
          <color auto="1"/>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Calibri"/>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numFmt numFmtId="165" formatCode="&quot;€&quot;\ #,##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165" formatCode="&quot;€&quot;\ #,##0"/>
      <alignment horizontal="general" vertical="center" textRotation="0" wrapText="0" indent="0" justifyLastLine="0" shrinkToFit="0" readingOrder="0"/>
      <border diagonalUp="0" diagonalDown="0">
        <left style="thin">
          <color auto="1"/>
        </left>
        <right style="thin">
          <color auto="1"/>
        </right>
        <top style="hair">
          <color auto="1"/>
        </top>
        <bottom style="hair">
          <color auto="1"/>
        </bottom>
        <vertical/>
        <horizontal style="hair">
          <color auto="1"/>
        </horizontal>
      </border>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numFmt numFmtId="0" formatCode="General"/>
      <fill>
        <patternFill patternType="solid">
          <fgColor indexed="64"/>
          <bgColor rgb="FFCBDEDF"/>
        </patternFill>
      </fill>
      <alignment horizontal="left" vertical="center" textRotation="0" wrapText="0" indent="0" justifyLastLine="0" shrinkToFit="0" readingOrder="0"/>
      <border diagonalUp="0" diagonalDown="0">
        <left style="hair">
          <color auto="1"/>
        </left>
        <right style="thin">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outline="0">
        <left/>
        <right/>
        <top style="thin">
          <color indexed="64"/>
        </top>
        <bottom style="thin">
          <color indexed="64"/>
        </bottom>
      </border>
    </dxf>
    <dxf>
      <font>
        <sz val="10"/>
      </font>
      <numFmt numFmtId="0" formatCode="General"/>
      <fill>
        <patternFill patternType="solid">
          <fgColor indexed="64"/>
          <bgColor rgb="FFCBDEDF"/>
        </patternFill>
      </fill>
      <alignment horizontal="left" vertical="center" textRotation="0" wrapText="0" indent="0" justifyLastLine="0" shrinkToFit="0" readingOrder="0"/>
      <border diagonalUp="0" diagonalDown="0">
        <left style="hair">
          <color indexed="64"/>
        </left>
        <right style="hair">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1"/>
    </dxf>
    <dxf>
      <font>
        <sz val="10"/>
      </font>
      <numFmt numFmtId="165" formatCode="&quot;€&quot;\ #,##0"/>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auto="1"/>
        </top>
        <bottom style="hair">
          <color auto="1"/>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numFmt numFmtId="1" formatCode="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right/>
        <top style="thin">
          <color indexed="64"/>
        </top>
        <bottom style="thin">
          <color indexed="64"/>
        </bottom>
      </border>
      <protection locked="1" hidden="1"/>
    </dxf>
    <dxf>
      <numFmt numFmtId="2" formatCode="0.0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font>
        <b val="0"/>
        <i val="0"/>
        <strike val="0"/>
        <condense val="0"/>
        <extend val="0"/>
        <outline val="0"/>
        <shadow val="0"/>
        <u val="none"/>
        <vertAlign val="baseline"/>
        <sz val="10"/>
        <color theme="1"/>
        <name val="Calibri"/>
        <scheme val="minor"/>
      </font>
      <fill>
        <patternFill patternType="solid">
          <fgColor indexed="64"/>
          <bgColor rgb="FFCBDFDE"/>
        </patternFill>
      </fill>
      <alignment horizontal="general" vertical="center" textRotation="0" wrapText="0" indent="0" justifyLastLine="0" shrinkToFit="0" readingOrder="0"/>
      <border diagonalUp="0" diagonalDown="0">
        <left/>
        <right style="hair">
          <color auto="1"/>
        </right>
        <top style="hair">
          <color indexed="64"/>
        </top>
        <bottom style="hair">
          <color indexed="64"/>
        </bottom>
        <vertical/>
        <horizontal style="hair">
          <color indexed="64"/>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1" hidden="1"/>
    </dxf>
    <dxf>
      <border>
        <top style="thin">
          <color indexed="64"/>
        </top>
      </border>
    </dxf>
    <dxf>
      <protection locked="1" hidden="1"/>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Calibri"/>
        <scheme val="minor"/>
      </font>
      <fill>
        <patternFill patternType="solid">
          <fgColor indexed="64"/>
          <bgColor theme="0"/>
        </patternFill>
      </fill>
      <alignment horizontal="center" vertical="center" textRotation="0" wrapText="0" indent="0" justifyLastLine="0" shrinkToFit="0" readingOrder="0"/>
    </dxf>
  </dxfs>
  <tableStyles count="0" defaultTableStyle="TableStyleMedium2" defaultPivotStyle="PivotStyleLight16"/>
  <colors>
    <mruColors>
      <color rgb="FFCBDFDE"/>
      <color rgb="FFCBDEDF"/>
      <color rgb="FFFFFFFF"/>
      <color rgb="FFCBE8E9"/>
      <color rgb="FFEA6B14"/>
      <color rgb="FFBCE5F2"/>
      <color rgb="FF7ECDE6"/>
      <color rgb="FF18657C"/>
      <color rgb="FFB7D2D3"/>
      <color rgb="FF7EAE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628650</xdr:colOff>
      <xdr:row>0</xdr:row>
      <xdr:rowOff>1012582</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28650" cy="1017966"/>
        </a:xfrm>
        <a:prstGeom prst="rect">
          <a:avLst/>
        </a:prstGeom>
      </xdr:spPr>
    </xdr:pic>
    <xdr:clientData/>
  </xdr:twoCellAnchor>
  <xdr:twoCellAnchor editAs="oneCell">
    <xdr:from>
      <xdr:col>0</xdr:col>
      <xdr:colOff>723900</xdr:colOff>
      <xdr:row>0</xdr:row>
      <xdr:rowOff>15240</xdr:rowOff>
    </xdr:from>
    <xdr:to>
      <xdr:col>0</xdr:col>
      <xdr:colOff>2219325</xdr:colOff>
      <xdr:row>0</xdr:row>
      <xdr:rowOff>368625</xdr:rowOff>
    </xdr:to>
    <xdr:pic>
      <xdr:nvPicPr>
        <xdr:cNvPr id="2" name="Afbeelding 1" descr="Afbeelding met tekst, Lettertype, logo, Graphics&#10;&#10;Automatisch gegenereerde beschrijving">
          <a:extLst>
            <a:ext uri="{FF2B5EF4-FFF2-40B4-BE49-F238E27FC236}">
              <a16:creationId xmlns:a16="http://schemas.microsoft.com/office/drawing/2014/main" id="{FE434E84-30E9-BC33-34E4-C007B90EC9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3900" y="15240"/>
          <a:ext cx="1495425" cy="35338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Personnel" displayName="Personnel" ref="A23:H34" totalsRowCount="1" headerRowDxfId="404" totalsRowDxfId="401" headerRowBorderDxfId="403" tableBorderDxfId="402" totalsRowBorderDxfId="400">
  <autoFilter ref="A23:H33"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200-000001000000}" name="Category" totalsRowDxfId="399"/>
    <tableColumn id="7" xr3:uid="{00000000-0010-0000-0200-000007000000}" name="Kolom1" dataDxfId="398" totalsRowDxfId="397"/>
    <tableColumn id="2" xr3:uid="{00000000-0010-0000-0200-000002000000}" name="FTE" dataDxfId="396" totalsRowDxfId="395"/>
    <tableColumn id="3" xr3:uid="{00000000-0010-0000-0200-000003000000}" name="Months" dataDxfId="394" totalsRowDxfId="393"/>
    <tableColumn id="4" xr3:uid="{00000000-0010-0000-0200-000004000000}" name="Costs" totalsRowLabel="Sub total:" dataDxfId="392" totalsRowDxfId="391"/>
    <tableColumn id="5" xr3:uid="{00000000-0010-0000-0200-000005000000}" name="Organisation type" dataDxfId="390" totalsRowDxfId="389"/>
    <tableColumn id="8" xr3:uid="{00000000-0010-0000-0200-000008000000}" name="Name organisation" dataDxfId="388" totalsRowDxfId="387"/>
    <tableColumn id="6" xr3:uid="{00000000-0010-0000-0200-000006000000}" name="Amount" totalsRowFunction="custom" dataDxfId="386" totalsRowDxfId="385">
      <calculatedColumnFormula>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calculatedColumnFormula>
      <totalsRowFormula>SUM(Personnel[Amount])</totalsRow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7000000}" name="list_other" displayName="list_other" ref="E301:E310" totalsRowShown="0" headerRowDxfId="249" dataDxfId="248" tableBorderDxfId="247">
  <autoFilter ref="E301:E310" xr:uid="{00000000-0009-0000-0100-000009000000}"/>
  <tableColumns count="1">
    <tableColumn id="1" xr3:uid="{00000000-0010-0000-1700-000001000000}" name="list type institute - other institutes:" dataDxfId="24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8000000}" name="list_combined" displayName="list_combined" ref="G301:G320" totalsRowShown="0" headerRowDxfId="245" dataDxfId="244" tableBorderDxfId="243">
  <autoFilter ref="G301:G320" xr:uid="{00000000-0009-0000-0100-00000B000000}"/>
  <tableColumns count="1">
    <tableColumn id="1" xr3:uid="{00000000-0010-0000-1800-000001000000}" name="list type institute - combined:" dataDxfId="24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9000000}" name="list_cofunders" displayName="list_cofunders" ref="I301:J319" totalsRowShown="0" headerRowDxfId="241" dataDxfId="240" tableBorderDxfId="239">
  <autoFilter ref="I301:J319" xr:uid="{00000000-0009-0000-0100-00000C000000}"/>
  <tableColumns count="2">
    <tableColumn id="1" xr3:uid="{00000000-0010-0000-1900-000001000000}" name="list cofunders" dataDxfId="238"/>
    <tableColumn id="2" xr3:uid="{00000000-0010-0000-1900-000002000000}" name="private?" dataDxfId="23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A000000}" name="salaries_academic" displayName="salaries_academic" ref="A82:CV89" totalsRowShown="0" headerRowDxfId="236" dataDxfId="235" tableBorderDxfId="234">
  <autoFilter ref="A82:CV89" xr:uid="{00000000-0009-0000-0100-000001000000}">
    <filterColumn colId="0"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filterColumn colId="90" hiddenButton="1"/>
    <filterColumn colId="91" hiddenButton="1"/>
    <filterColumn colId="92" hiddenButton="1"/>
    <filterColumn colId="93" hiddenButton="1"/>
    <filterColumn colId="94" hiddenButton="1"/>
    <filterColumn colId="95" hiddenButton="1"/>
    <filterColumn colId="96" hiddenButton="1"/>
    <filterColumn colId="97" hiddenButton="1"/>
    <filterColumn colId="98" hiddenButton="1"/>
    <filterColumn colId="99" hiddenButton="1"/>
  </autoFilter>
  <tableColumns count="100">
    <tableColumn id="1" xr3:uid="{00000000-0010-0000-1A00-000001000000}" name="category" dataDxfId="233"/>
    <tableColumn id="98" xr3:uid="{00000000-0010-0000-1A00-000062000000}" name="instruction" dataDxfId="232"/>
    <tableColumn id="100" xr3:uid="{00000000-0010-0000-1A00-000064000000}" name="max nr positions" dataDxfId="231"/>
    <tableColumn id="99" xr3:uid="{00000000-0010-0000-1A00-000063000000}" name="max perc subsidy" dataDxfId="230"/>
    <tableColumn id="2" xr3:uid="{00000000-0010-0000-1A00-000002000000}" name="1" dataDxfId="229"/>
    <tableColumn id="3" xr3:uid="{00000000-0010-0000-1A00-000003000000}" name="2" dataDxfId="228"/>
    <tableColumn id="4" xr3:uid="{00000000-0010-0000-1A00-000004000000}" name="3" dataDxfId="227"/>
    <tableColumn id="5" xr3:uid="{00000000-0010-0000-1A00-000005000000}" name="4" dataDxfId="226"/>
    <tableColumn id="6" xr3:uid="{00000000-0010-0000-1A00-000006000000}" name="5" dataDxfId="225"/>
    <tableColumn id="7" xr3:uid="{00000000-0010-0000-1A00-000007000000}" name="6" dataDxfId="224"/>
    <tableColumn id="8" xr3:uid="{00000000-0010-0000-1A00-000008000000}" name="7" dataDxfId="223"/>
    <tableColumn id="9" xr3:uid="{00000000-0010-0000-1A00-000009000000}" name="8" dataDxfId="222"/>
    <tableColumn id="10" xr3:uid="{00000000-0010-0000-1A00-00000A000000}" name="9" dataDxfId="221"/>
    <tableColumn id="11" xr3:uid="{00000000-0010-0000-1A00-00000B000000}" name="10" dataDxfId="220"/>
    <tableColumn id="12" xr3:uid="{00000000-0010-0000-1A00-00000C000000}" name="11" dataDxfId="219"/>
    <tableColumn id="13" xr3:uid="{00000000-0010-0000-1A00-00000D000000}" name="12" dataDxfId="218"/>
    <tableColumn id="14" xr3:uid="{00000000-0010-0000-1A00-00000E000000}" name="13" dataDxfId="217"/>
    <tableColumn id="15" xr3:uid="{00000000-0010-0000-1A00-00000F000000}" name="14" dataDxfId="216"/>
    <tableColumn id="16" xr3:uid="{00000000-0010-0000-1A00-000010000000}" name="15" dataDxfId="215"/>
    <tableColumn id="17" xr3:uid="{00000000-0010-0000-1A00-000011000000}" name="16" dataDxfId="214"/>
    <tableColumn id="18" xr3:uid="{00000000-0010-0000-1A00-000012000000}" name="17" dataDxfId="213"/>
    <tableColumn id="19" xr3:uid="{00000000-0010-0000-1A00-000013000000}" name="18" dataDxfId="212"/>
    <tableColumn id="20" xr3:uid="{00000000-0010-0000-1A00-000014000000}" name="19" dataDxfId="211"/>
    <tableColumn id="21" xr3:uid="{00000000-0010-0000-1A00-000015000000}" name="20" dataDxfId="210"/>
    <tableColumn id="22" xr3:uid="{00000000-0010-0000-1A00-000016000000}" name="21" dataDxfId="209"/>
    <tableColumn id="23" xr3:uid="{00000000-0010-0000-1A00-000017000000}" name="22" dataDxfId="208"/>
    <tableColumn id="24" xr3:uid="{00000000-0010-0000-1A00-000018000000}" name="23" dataDxfId="207"/>
    <tableColumn id="25" xr3:uid="{00000000-0010-0000-1A00-000019000000}" name="24" dataDxfId="206"/>
    <tableColumn id="26" xr3:uid="{00000000-0010-0000-1A00-00001A000000}" name="25" dataDxfId="205"/>
    <tableColumn id="27" xr3:uid="{00000000-0010-0000-1A00-00001B000000}" name="26" dataDxfId="204"/>
    <tableColumn id="28" xr3:uid="{00000000-0010-0000-1A00-00001C000000}" name="27" dataDxfId="203"/>
    <tableColumn id="29" xr3:uid="{00000000-0010-0000-1A00-00001D000000}" name="28" dataDxfId="202"/>
    <tableColumn id="30" xr3:uid="{00000000-0010-0000-1A00-00001E000000}" name="29" dataDxfId="201"/>
    <tableColumn id="31" xr3:uid="{00000000-0010-0000-1A00-00001F000000}" name="30" dataDxfId="200"/>
    <tableColumn id="32" xr3:uid="{00000000-0010-0000-1A00-000020000000}" name="31" dataDxfId="199"/>
    <tableColumn id="33" xr3:uid="{00000000-0010-0000-1A00-000021000000}" name="32" dataDxfId="198"/>
    <tableColumn id="34" xr3:uid="{00000000-0010-0000-1A00-000022000000}" name="33" dataDxfId="197"/>
    <tableColumn id="35" xr3:uid="{00000000-0010-0000-1A00-000023000000}" name="34" dataDxfId="196"/>
    <tableColumn id="36" xr3:uid="{00000000-0010-0000-1A00-000024000000}" name="35" dataDxfId="195"/>
    <tableColumn id="37" xr3:uid="{00000000-0010-0000-1A00-000025000000}" name="36" dataDxfId="194"/>
    <tableColumn id="38" xr3:uid="{00000000-0010-0000-1A00-000026000000}" name="37" dataDxfId="193"/>
    <tableColumn id="39" xr3:uid="{00000000-0010-0000-1A00-000027000000}" name="38" dataDxfId="192"/>
    <tableColumn id="40" xr3:uid="{00000000-0010-0000-1A00-000028000000}" name="39" dataDxfId="191"/>
    <tableColumn id="41" xr3:uid="{00000000-0010-0000-1A00-000029000000}" name="40" dataDxfId="190"/>
    <tableColumn id="42" xr3:uid="{00000000-0010-0000-1A00-00002A000000}" name="41" dataDxfId="189"/>
    <tableColumn id="43" xr3:uid="{00000000-0010-0000-1A00-00002B000000}" name="42" dataDxfId="188"/>
    <tableColumn id="44" xr3:uid="{00000000-0010-0000-1A00-00002C000000}" name="43" dataDxfId="187"/>
    <tableColumn id="45" xr3:uid="{00000000-0010-0000-1A00-00002D000000}" name="44" dataDxfId="186"/>
    <tableColumn id="46" xr3:uid="{00000000-0010-0000-1A00-00002E000000}" name="45" dataDxfId="185"/>
    <tableColumn id="47" xr3:uid="{00000000-0010-0000-1A00-00002F000000}" name="46" dataDxfId="184"/>
    <tableColumn id="48" xr3:uid="{00000000-0010-0000-1A00-000030000000}" name="47" dataDxfId="183"/>
    <tableColumn id="49" xr3:uid="{00000000-0010-0000-1A00-000031000000}" name="48" dataDxfId="182"/>
    <tableColumn id="50" xr3:uid="{00000000-0010-0000-1A00-000032000000}" name="49" dataDxfId="181"/>
    <tableColumn id="51" xr3:uid="{00000000-0010-0000-1A00-000033000000}" name="50" dataDxfId="180"/>
    <tableColumn id="52" xr3:uid="{00000000-0010-0000-1A00-000034000000}" name="51" dataDxfId="179"/>
    <tableColumn id="53" xr3:uid="{00000000-0010-0000-1A00-000035000000}" name="52" dataDxfId="178"/>
    <tableColumn id="54" xr3:uid="{00000000-0010-0000-1A00-000036000000}" name="53" dataDxfId="177"/>
    <tableColumn id="55" xr3:uid="{00000000-0010-0000-1A00-000037000000}" name="54" dataDxfId="176"/>
    <tableColumn id="56" xr3:uid="{00000000-0010-0000-1A00-000038000000}" name="55" dataDxfId="175"/>
    <tableColumn id="57" xr3:uid="{00000000-0010-0000-1A00-000039000000}" name="56" dataDxfId="174"/>
    <tableColumn id="58" xr3:uid="{00000000-0010-0000-1A00-00003A000000}" name="57" dataDxfId="173"/>
    <tableColumn id="59" xr3:uid="{00000000-0010-0000-1A00-00003B000000}" name="58" dataDxfId="172"/>
    <tableColumn id="60" xr3:uid="{00000000-0010-0000-1A00-00003C000000}" name="59" dataDxfId="171"/>
    <tableColumn id="61" xr3:uid="{00000000-0010-0000-1A00-00003D000000}" name="60" dataDxfId="170"/>
    <tableColumn id="62" xr3:uid="{00000000-0010-0000-1A00-00003E000000}" name="61" dataDxfId="169"/>
    <tableColumn id="63" xr3:uid="{00000000-0010-0000-1A00-00003F000000}" name="62" dataDxfId="168"/>
    <tableColumn id="64" xr3:uid="{00000000-0010-0000-1A00-000040000000}" name="63" dataDxfId="167"/>
    <tableColumn id="65" xr3:uid="{00000000-0010-0000-1A00-000041000000}" name="64" dataDxfId="166"/>
    <tableColumn id="66" xr3:uid="{00000000-0010-0000-1A00-000042000000}" name="65" dataDxfId="165"/>
    <tableColumn id="67" xr3:uid="{00000000-0010-0000-1A00-000043000000}" name="66" dataDxfId="164"/>
    <tableColumn id="68" xr3:uid="{00000000-0010-0000-1A00-000044000000}" name="67" dataDxfId="163"/>
    <tableColumn id="69" xr3:uid="{00000000-0010-0000-1A00-000045000000}" name="68" dataDxfId="162"/>
    <tableColumn id="70" xr3:uid="{00000000-0010-0000-1A00-000046000000}" name="69" dataDxfId="161"/>
    <tableColumn id="71" xr3:uid="{00000000-0010-0000-1A00-000047000000}" name="70" dataDxfId="160"/>
    <tableColumn id="72" xr3:uid="{00000000-0010-0000-1A00-000048000000}" name="71" dataDxfId="159"/>
    <tableColumn id="73" xr3:uid="{00000000-0010-0000-1A00-000049000000}" name="72" dataDxfId="158"/>
    <tableColumn id="74" xr3:uid="{00000000-0010-0000-1A00-00004A000000}" name="73" dataDxfId="157"/>
    <tableColumn id="75" xr3:uid="{00000000-0010-0000-1A00-00004B000000}" name="74" dataDxfId="156"/>
    <tableColumn id="76" xr3:uid="{00000000-0010-0000-1A00-00004C000000}" name="75" dataDxfId="155"/>
    <tableColumn id="77" xr3:uid="{00000000-0010-0000-1A00-00004D000000}" name="76" dataDxfId="154"/>
    <tableColumn id="78" xr3:uid="{00000000-0010-0000-1A00-00004E000000}" name="77" dataDxfId="153"/>
    <tableColumn id="79" xr3:uid="{00000000-0010-0000-1A00-00004F000000}" name="78" dataDxfId="152"/>
    <tableColumn id="80" xr3:uid="{00000000-0010-0000-1A00-000050000000}" name="79" dataDxfId="151"/>
    <tableColumn id="81" xr3:uid="{00000000-0010-0000-1A00-000051000000}" name="80" dataDxfId="150"/>
    <tableColumn id="82" xr3:uid="{00000000-0010-0000-1A00-000052000000}" name="81" dataDxfId="149"/>
    <tableColumn id="83" xr3:uid="{00000000-0010-0000-1A00-000053000000}" name="82" dataDxfId="148"/>
    <tableColumn id="84" xr3:uid="{00000000-0010-0000-1A00-000054000000}" name="83" dataDxfId="147"/>
    <tableColumn id="85" xr3:uid="{00000000-0010-0000-1A00-000055000000}" name="84" dataDxfId="146"/>
    <tableColumn id="86" xr3:uid="{00000000-0010-0000-1A00-000056000000}" name="85" dataDxfId="145"/>
    <tableColumn id="87" xr3:uid="{00000000-0010-0000-1A00-000057000000}" name="86" dataDxfId="144"/>
    <tableColumn id="88" xr3:uid="{00000000-0010-0000-1A00-000058000000}" name="87" dataDxfId="143"/>
    <tableColumn id="89" xr3:uid="{00000000-0010-0000-1A00-000059000000}" name="88" dataDxfId="142"/>
    <tableColumn id="90" xr3:uid="{00000000-0010-0000-1A00-00005A000000}" name="89" dataDxfId="141"/>
    <tableColumn id="91" xr3:uid="{00000000-0010-0000-1A00-00005B000000}" name="90" dataDxfId="140"/>
    <tableColumn id="92" xr3:uid="{00000000-0010-0000-1A00-00005C000000}" name="91" dataDxfId="139"/>
    <tableColumn id="93" xr3:uid="{00000000-0010-0000-1A00-00005D000000}" name="92" dataDxfId="138"/>
    <tableColumn id="94" xr3:uid="{00000000-0010-0000-1A00-00005E000000}" name="93" dataDxfId="137"/>
    <tableColumn id="95" xr3:uid="{00000000-0010-0000-1A00-00005F000000}" name="94" dataDxfId="136"/>
    <tableColumn id="96" xr3:uid="{00000000-0010-0000-1A00-000060000000}" name="95" dataDxfId="135"/>
    <tableColumn id="97" xr3:uid="{00000000-0010-0000-1A00-000061000000}" name="96" dataDxfId="13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B000000}" name="salaries_other_inst" displayName="salaries_other_inst" ref="A96:C114" totalsRowShown="0" headerRowDxfId="133" dataDxfId="132" tableBorderDxfId="131">
  <autoFilter ref="A96:C114" xr:uid="{00000000-0009-0000-0100-000016000000}"/>
  <tableColumns count="3">
    <tableColumn id="1" xr3:uid="{00000000-0010-0000-1B00-000001000000}" name="category" dataDxfId="130"/>
    <tableColumn id="2" xr3:uid="{00000000-0010-0000-1B00-000002000000}" name="Max hourly rate" dataDxfId="129"/>
    <tableColumn id="3" xr3:uid="{9F7E4767-F857-4FAE-AA53-3238F28028F0}" name="Assistant/associate/full prof" dataDxfId="12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C000000}" name="CCC_table" displayName="CCC_table" ref="A126:E293" totalsRowShown="0" headerRowDxfId="127" dataDxfId="126">
  <autoFilter ref="A126:E293" xr:uid="{00000000-0009-0000-0100-000017000000}"/>
  <tableColumns count="5">
    <tableColumn id="1" xr3:uid="{00000000-0010-0000-1C00-000001000000}" name="Code" dataDxfId="125"/>
    <tableColumn id="2" xr3:uid="{00000000-0010-0000-1C00-000002000000}" name="Country" dataDxfId="124"/>
    <tableColumn id="3" xr3:uid="{00000000-0010-0000-1C00-000003000000}" name="Code and Country" dataDxfId="123">
      <calculatedColumnFormula>A127&amp;" "&amp;B127&amp;" "&amp;"CCC: "&amp;D127</calculatedColumnFormula>
    </tableColumn>
    <tableColumn id="4" xr3:uid="{00000000-0010-0000-1C00-000004000000}" name="CC" dataDxfId="122"/>
    <tableColumn id="5" xr3:uid="{00000000-0010-0000-1C00-000005000000}" name="Categorie" dataDxfId="12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1D000000}" name="list_main_applicant" displayName="list_main_applicant" ref="A301:A310" totalsRowShown="0" headerRowDxfId="120" dataDxfId="119">
  <autoFilter ref="A301:A310" xr:uid="{00000000-0009-0000-0100-000026000000}"/>
  <tableColumns count="1">
    <tableColumn id="1" xr3:uid="{00000000-0010-0000-1D00-000001000000}" name="type institute - org main applicant:" dataDxfId="11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E000000}" name="check_items" displayName="check_items" ref="A26:C101" totalsRowShown="0" headerRowDxfId="117" dataDxfId="116">
  <autoFilter ref="A26:C101" xr:uid="{00000000-0009-0000-0100-000018000000}"/>
  <tableColumns count="3">
    <tableColumn id="1" xr3:uid="{00000000-0010-0000-1E00-000001000000}" name="Situation" dataDxfId="115"/>
    <tableColumn id="2" xr3:uid="{00000000-0010-0000-1E00-000002000000}" name="Message" dataDxfId="114"/>
    <tableColumn id="3" xr3:uid="{00000000-0010-0000-1E00-000003000000}" name="Remarks" dataDxfId="113"/>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F000000}" name="personnel_ac_notes" displayName="personnel_ac_notes" ref="A116:AD126" totalsRowShown="0" headerRowDxfId="112" dataDxfId="111">
  <autoFilter ref="A116:AD126" xr:uid="{00000000-0009-0000-0100-000019000000}"/>
  <tableColumns count="30">
    <tableColumn id="1" xr3:uid="{00000000-0010-0000-1F00-000001000000}" name="Row nr" dataDxfId="110"/>
    <tableColumn id="13" xr3:uid="{00000000-0010-0000-1F00-00000D000000}" name="Combined notes" dataDxfId="109">
      <calculatedColumnFormula array="1">IFERROR(INDEX(personnel_ac_notes[[#This Row],[Exceeding nr months]:[Costs specified]],1,MATCH(TRUE,LEN(personnel_ac_notes[[#This Row],[Exceeding nr months]:[Costs specified]])&gt;0,0)),"")</calculatedColumnFormula>
    </tableColumn>
    <tableColumn id="2" xr3:uid="{00000000-0010-0000-1F00-000002000000}" name="Exceeding nr months" dataDxfId="108">
      <calculatedColumnFormula>IFERROR(IF(INDEX(Personnel[Months],A117)&gt;Max_project_duration,$B$37,""),"")</calculatedColumnFormula>
    </tableColumn>
    <tableColumn id="24" xr3:uid="{00000000-0010-0000-1F00-000018000000}" name="Empty lines" dataDxfId="107">
      <calculatedColumnFormula>IFERROR(IF(AND(LEN(INDEX(Personnel[Category],A117))+LEN(INDEX(Personnel[FTE],A117))+LEN(INDEX(Personnel[Months],A117))&gt;0,LEN(INDEX(Personnel[Category],A117-1))+LEN(INDEX(Personnel[FTE],A117-1))+LEN(INDEX(Personnel[Months],A117-1))=0),$B$36,""),"")</calculatedColumnFormula>
    </tableColumn>
    <tableColumn id="25" xr3:uid="{00000000-0010-0000-1F00-000019000000}" name="Instruction" dataDxfId="106">
      <calculatedColumnFormula>IF(AND(NOT(ISBLANK(INDEX(Personnel[Category],A117))),OR(ISBLANK(INDEX(Personnel[FTE],A117)),ISBLANK(INDEX(Personnel[Months],A117)))),VLOOKUP(INDEX(Personnel[Category],A117),salaries_academic[],2,FALSE),"")</calculatedColumnFormula>
    </tableColumn>
    <tableColumn id="9" xr3:uid="{00000000-0010-0000-1F00-000009000000}" name="Instruction international" dataDxfId="105">
      <calculatedColumnFormula>IF(AND(INDEX(Personnel[Organisation type],A117)=pers_int_listname,ISBLANK(INDEX(Personnel[Kolom1],A117))),"Provide country","")</calculatedColumnFormula>
    </tableColumn>
    <tableColumn id="28" xr3:uid="{00000000-0010-0000-1F00-00001C000000}" name="Nr of positions &gt; max" dataDxfId="104">
      <calculatedColumnFormula array="1">_xlfn.IFNA(IF(COUNTIF(Personnel[Category],INDEX(Personnel[Category],$A117))-INDEX(salaries_academic[max nr positions],MATCH(INDEX(Personnel[Category],$A117),salaries_academic[category],0))&gt;0,$B$40,""),"")</calculatedColumnFormula>
    </tableColumn>
    <tableColumn id="10" xr3:uid="{A49BE0C9-37A8-4AA6-AA6E-A843B29B4039}" name="pers abroad: min nr of positions" dataDxfId="103">
      <calculatedColumnFormula array="1">IFERROR(IF(AND(COUNTIF(Personnel[Organisation type],pers_int_listname)&lt;pers_int_minpos,INDEX(Personnel[Organisation type],A117,1)=pers_int_listname),$B$64,""),"")</calculatedColumnFormula>
    </tableColumn>
    <tableColumn id="14" xr3:uid="{ED052FC6-8C56-4A7A-9365-5F5FFDC53002}" name="pers abroad: max nr of positions" dataDxfId="102">
      <calculatedColumnFormula array="1">IFERROR(IF(AND(COUNTIF(Personnel[Organisation type],pers_int_listname)&gt;pers_int_maxpos,INDEX(Personnel[Organisation type],A117,1)=pers_int_listname),$B$65,""),"")</calculatedColumnFormula>
    </tableColumn>
    <tableColumn id="15" xr3:uid="{CD69DC87-9859-474A-AAC5-C25E292540EC}" name="pers abroad: amount too low" dataDxfId="101">
      <calculatedColumnFormula array="1">IFERROR(IF(AND(INDEX(Personnel[Organisation type],A117,1)=pers_int_listname,SUMIF(Personnel[Organisation type],pers_int_listname,Personnel[Amount])&lt;pers_int_minamount),$B$66,""),"")</calculatedColumnFormula>
    </tableColumn>
    <tableColumn id="16" xr3:uid="{5700C3F8-6EDA-4D37-867F-8C2FF559493F}" name="pers abroad: amount too high" dataDxfId="100">
      <calculatedColumnFormula array="1">IFERROR(IF(AND(INDEX(Personnel[Organisation type],A117,1)=pers_int_listname,SUMIF(Personnel[Organisation type],pers_int_listname,Personnel[Amount])&gt;pers_int_maxamount),$B$67,""),"")</calculatedColumnFormula>
    </tableColumn>
    <tableColumn id="17" xr3:uid="{EF095161-58C8-44EC-BEDC-15DC7B7C3414}" name="pers abroad: perc too low" dataDxfId="99">
      <calculatedColumnFormula array="1">IFERROR(IF(AND(INDEX(Personnel[Organisation type],A117,1)=pers_int_listname,SUMIF(Personnel[Organisation type],pers_int_listname,Personnel[Amount])&lt;pers_int_minperc*Total_NWO_funding),$B$68,""),"")</calculatedColumnFormula>
    </tableColumn>
    <tableColumn id="18" xr3:uid="{A3F94314-CD51-4AF3-A055-8D336A11337C}" name="pers abroad: perc too high" dataDxfId="98">
      <calculatedColumnFormula array="1">IFERROR(IF(AND(INDEX(Personnel[Organisation type],A117,1)=pers_int_listname,SUMIF(Personnel[Organisation type],pers_int_listname,Personnel[Amount])&gt;pers_int_maxperc*Total_NWO_funding),$B$69,""),"")</calculatedColumnFormula>
    </tableColumn>
    <tableColumn id="30" xr3:uid="{22442787-9147-4E79-93E4-C10500543956}" name="pers abroad - audit statement" dataDxfId="97">
      <calculatedColumnFormula array="1">_xlfn.IFNA(INDEX(pers_abr_amount_org[Total amount/org],MATCH(INDEX(Personnel[Name organisation],A117,1),pers_abr_amount_org[Name org],0),1,0),"")</calculatedColumnFormula>
    </tableColumn>
    <tableColumn id="3" xr3:uid="{00000000-0010-0000-1F00-000003000000}" name="PhD duration too small" dataDxfId="96">
      <calculatedColumnFormula>IFERROR(IF(COUNTIF(INDEX(Personnel[Category],A117),"*- PhD*")&gt;0,IF(INDEX(Personnel[Months],A117)*INDEX(Personnel[FTE],A117)&lt;pers_PhD_min_months,$B$38,""),""),"")</calculatedColumnFormula>
    </tableColumn>
    <tableColumn id="26" xr3:uid="{00000000-0010-0000-1F00-00001A000000}" name="PhD too long" dataDxfId="95">
      <calculatedColumnFormula>IFERROR(IF(COUNTIF(INDEX(Personnel[Category],$A117),"*- PhD*")&gt;0,IF(INDEX(Personnel[Months],$A117)*INDEX(Personnel[FTE],$A117)&gt;pers_PhD_max_months,$B$39,""),""),"")</calculatedColumnFormula>
    </tableColumn>
    <tableColumn id="5" xr3:uid="{00000000-0010-0000-1F00-000005000000}" name="EngD combination with PhD/PD" dataDxfId="94">
      <calculatedColumnFormula>IFERROR(IF(COUNTIF(INDEX(Personnel[Category],A117),"*EngD*")&gt;0,IF(OR(IFERROR(MATCH("*PhD*",Personnel[Category],0),0)&gt;0,IFERROR(MATCH("*PostDoc*",Personnel[Category],0),0)&gt;0),"",$B$43),""),"")</calculatedColumnFormula>
    </tableColumn>
    <tableColumn id="6" xr3:uid="{00000000-0010-0000-1F00-000006000000}" name="EngD duration" dataDxfId="93">
      <calculatedColumnFormula>IFERROR(IF(COUNTIF(INDEX(Personnel[Category],A117),"*EngD*")&gt;0,IF(INDEX(Personnel[Months],A117)*INDEX(Personnel[FTE],A117)&gt;pers_PDEng_max_months,$B$44,""),""),"")</calculatedColumnFormula>
    </tableColumn>
    <tableColumn id="7" xr3:uid="{00000000-0010-0000-1F00-000007000000}" name="PD min duration" dataDxfId="92">
      <calculatedColumnFormula>IFERROR(IF(COUNTIF(INDEX(Personnel[Category],A117),"*PostDoc*")&gt;0,IF(INDEX(Personnel[Months],A117)&lt;pers_PD_min_months,$B$45,""),""),"")</calculatedColumnFormula>
    </tableColumn>
    <tableColumn id="27" xr3:uid="{00000000-0010-0000-1F00-00001B000000}" name="PD min FTE" dataDxfId="91">
      <calculatedColumnFormula>IFERROR(IF(COUNTIF(INDEX(Personnel[Category],A117),"*PostDoc*")&gt;0,IF(INDEX(Personnel[FTE],A117)&lt;pers_PD_min_FTE,$B$46,""),""),"")</calculatedColumnFormula>
    </tableColumn>
    <tableColumn id="8" xr3:uid="{00000000-0010-0000-1F00-000008000000}" name="PD max duration" dataDxfId="90">
      <calculatedColumnFormula>IFERROR(IF(COUNTIF(INDEX(Personnel[Category],A117),"*PostDoc*")&gt;0,IF(INDEX(Personnel[Months],A117)*INDEX(Personnel[FTE],A117)&gt;pers_PD_max_months,$B$47,""),""),"")</calculatedColumnFormula>
    </tableColumn>
    <tableColumn id="11" xr3:uid="{00000000-0010-0000-1F00-00000B000000}" name="Phys-researcher min duration" dataDxfId="89">
      <calculatedColumnFormula>IFERROR(IF(COUNTIF(INDEX(Personnel[Category],A117),"*hysici*")&gt;0,IF(INDEX(Personnel[Months],A117)*INDEX(Personnel[FTE],A117)&lt;pers_phy_res_min_months,$B$48,""),""),"")</calculatedColumnFormula>
    </tableColumn>
    <tableColumn id="12" xr3:uid="{00000000-0010-0000-1F00-00000C000000}" name="Phys-researcher max duration" dataDxfId="88">
      <calculatedColumnFormula>IFERROR(IF(COUNTIF(INDEX(Personnel[Category],A117),"*hysici*")&gt;0,IF(INDEX(Personnel[Months],A117)*INDEX(Personnel[FTE],A117)&gt;pers_phy_res_max_months,$B$49,""),""),"")</calculatedColumnFormula>
    </tableColumn>
    <tableColumn id="4" xr3:uid="{9FFB62FC-5215-4420-8ED6-364403119238}" name="Appl - FTE too low" dataDxfId="87">
      <calculatedColumnFormula array="1">IFERROR(IF(COUNTIF(INDEX(Personnel[Category],A117),"*Applicant*")&gt;0,IF(INDEX(Personnel[FTE],A117)&lt;0.4,$B$51,""),""),"")</calculatedColumnFormula>
    </tableColumn>
    <tableColumn id="29" xr3:uid="{BB90B522-50B6-4E41-9D71-A26393BB91D4}" name="Applicant - FTE too high" dataDxfId="86">
      <calculatedColumnFormula array="1">IFERROR(IF(COUNTIF(INDEX(Personnel[Category],A117),"*Applicant*")&gt;0,IF(AND(INDEX(Personnel[FTE],A117)=1,INDEX(Personnel[Months],A117)&gt;=37),$B$52,""),""),"")</calculatedColumnFormula>
    </tableColumn>
    <tableColumn id="20" xr3:uid="{00000000-0010-0000-1F00-000014000000}" name="Research Leave - amount" dataDxfId="85">
      <calculatedColumnFormula>IFERROR(IF(COUNTIF(INDEX(Personnel[Category],A117),"*leave*")&gt;0,IF(Total_Research_leave&gt;pers_leave_maxperc*Total_NWO_funding,$B$50,""),""),"")</calculatedColumnFormula>
    </tableColumn>
    <tableColumn id="23" xr3:uid="{00000000-0010-0000-1F00-000017000000}" name="No costs given" dataDxfId="84">
      <calculatedColumnFormula>IFERROR(IF(AND(INDEX(Personnel[Costs],A117)=0,INDEX(salaries_academic[[category]:[1]],MATCH(INDEX(Personnel[Category],A117),salaries_academic[category],0),3)=0),$B$55,""),"")</calculatedColumnFormula>
    </tableColumn>
    <tableColumn id="19" xr3:uid="{00000000-0010-0000-1F00-000013000000}" name="Organisation type" dataDxfId="83">
      <calculatedColumnFormula>IF(AND(organisation_type="yes",INDEX(Personnel[Amount],A117,1)&lt;&gt;"",ISBLANK(INDEX(Personnel[Organisation type],A117,1))),$B$53,"")</calculatedColumnFormula>
    </tableColumn>
    <tableColumn id="22" xr3:uid="{00000000-0010-0000-1F00-000016000000}" name="Name organisation" dataDxfId="82">
      <calculatedColumnFormula>IF(AND(organisation_name="yes",INDEX(Personnel[Amount],A117,1)&lt;&gt;"",ISBLANK(INDEX(Personnel[Name organisation],A117,1))),$B$54,"")</calculatedColumnFormula>
    </tableColumn>
    <tableColumn id="21" xr3:uid="{00000000-0010-0000-1F00-000015000000}" name="Costs specified" dataDxfId="81">
      <calculatedColumnFormula>IFERROR(IF(AND(INDEX(Personnel[Costs],A117)&gt;0,NOT(INDEX(Personnel[Category],A117)=parameters!$A$83)),$B$56,""),"")</calculatedColumn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2000000}" name="materials_notes" displayName="materials_notes" ref="A245:I270" totalsRowShown="0">
  <autoFilter ref="A245:I270" xr:uid="{00000000-0009-0000-0100-000021000000}"/>
  <tableColumns count="9">
    <tableColumn id="1" xr3:uid="{00000000-0010-0000-2200-000001000000}" name="Row nr" dataDxfId="80"/>
    <tableColumn id="2" xr3:uid="{00000000-0010-0000-2200-000002000000}" name="Combined notes" dataDxfId="79">
      <calculatedColumnFormula array="1">IFERROR(INDEX(materials_notes[[#This Row],[Empty line]:[Amount not specified]],1,MATCH(TRUE,LEN(materials_notes[[#This Row],[Empty line]:[Amount not specified]])&gt;0,0)),"")</calculatedColumnFormula>
    </tableColumn>
    <tableColumn id="10" xr3:uid="{00000000-0010-0000-2200-00000A000000}" name="Empty line" dataDxfId="78">
      <calculatedColumnFormula>IFERROR(IF(AND(empty_lines="no",LEN(INDEX(materials[Description],materials_notes[[#This Row],[Row nr]]))=0,LEN(INDEX(materials[Description],materials_notes[[#This Row],[Row nr]]+1))&gt;0),$B$36,""),"")</calculatedColumnFormula>
    </tableColumn>
    <tableColumn id="11" xr3:uid="{00000000-0010-0000-2200-00000B000000}" name="Organisation type not specified." dataDxfId="77">
      <calculatedColumnFormula>IF(AND(organisation_type="yes",LEN(INDEX(materials[Description],materials_notes[[#This Row],[Row nr]]))&gt;0,ISBLANK(INDEX(materials[Organisation type],materials_notes[[#This Row],[Row nr]]))),$B$53,"")</calculatedColumnFormula>
    </tableColumn>
    <tableColumn id="6" xr3:uid="{00000000-0010-0000-2200-000006000000}" name="Name organisation" dataDxfId="76">
      <calculatedColumnFormula>IF(AND(organisation_name="yes",LEN(INDEX(materials[Description],materials_notes[[#This Row],[Row nr]]))&gt;0,LEN(INDEX(materials[Organisation type],materials_notes[[#This Row],[Row nr]]))&gt;0,ISBLANK(INDEX(materials[Name organisation],materials_notes[[#This Row],[Row nr]]))),$B$54,"")</calculatedColumnFormula>
    </tableColumn>
    <tableColumn id="5" xr3:uid="{B5CEB27F-91F4-44FA-B72F-624BF2BDE90A}" name="Too high amount" dataDxfId="75">
      <calculatedColumnFormula array="1">IF(AND(INDEX(materials[Amount],materials_notes[[#This Row],[Row nr]])&gt;0,SUM(materials[Amount])&gt;Mat_max_amount),$B$77,"")</calculatedColumnFormula>
    </tableColumn>
    <tableColumn id="7" xr3:uid="{95342DC1-C7E5-4388-91DC-569566216A18}" name="Too high % wrt personnel" dataDxfId="74">
      <calculatedColumnFormula array="1">IF(AND(INDEX(materials[Amount],materials_notes[[#This Row],[Row nr]])&gt;0,SUM(materials[Amount])&gt;mat_maxperc_pers*Total_personnel_costs),$B$78,"")</calculatedColumnFormula>
    </tableColumn>
    <tableColumn id="3" xr3:uid="{3CD8191D-4CA4-4F9E-99B8-8460A8A1F969}" name="Org abroad - % too high" dataDxfId="73">
      <calculatedColumnFormula>IF(AND(LEN(INDEX(materials[Description],materials_notes[[#This Row],[Row nr]]))&gt;0,INDEX(materials[Organisation type],materials_notes[[#This Row],[Row nr]])=pers_int_listname,SUMIF(materials[Organisation type],pers_int_listname,materials[Amount])&gt;mat_int_maxperc*Total_material_costs),$B$79,"")</calculatedColumnFormula>
    </tableColumn>
    <tableColumn id="4" xr3:uid="{00000000-0010-0000-2200-000004000000}" name="Amount not specified" dataDxfId="72">
      <calculatedColumnFormula>IF(AND(LEN(INDEX(materials[Description],materials_notes[[#This Row],[Row nr]]))&gt;0,LEN(INDEX(materials[Amount],materials_notes[[#This Row],[Row nr]]))=0),$B$80,"")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benchfee" displayName="benchfee" ref="A37:H48" totalsRowCount="1" headerRowDxfId="384" totalsRowDxfId="381" headerRowBorderDxfId="383" tableBorderDxfId="382">
  <autoFilter ref="A37:H4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300-000001000000}" name="Category" dataDxfId="380" totalsRowDxfId="379">
      <calculatedColumnFormula>checks!I11</calculatedColumnFormula>
    </tableColumn>
    <tableColumn id="2" xr3:uid="{00000000-0010-0000-0300-000002000000}" name="FTE" dataDxfId="378" totalsRowDxfId="377">
      <calculatedColumnFormula>checks!J11</calculatedColumnFormula>
    </tableColumn>
    <tableColumn id="3" xr3:uid="{00000000-0010-0000-0300-000003000000}" name="Months" dataDxfId="376" totalsRowDxfId="375">
      <calculatedColumnFormula>checks!K11</calculatedColumnFormula>
    </tableColumn>
    <tableColumn id="4" xr3:uid="{00000000-0010-0000-0300-000004000000}" name="# Benchfee" dataDxfId="374" totalsRowDxfId="373"/>
    <tableColumn id="8" xr3:uid="{00000000-0010-0000-0300-000008000000}" name="€/benchfee" totalsRowLabel="Sub total:" dataDxfId="372" totalsRowDxfId="371">
      <calculatedColumnFormula>benchfee_amount</calculatedColumnFormula>
    </tableColumn>
    <tableColumn id="7" xr3:uid="{00000000-0010-0000-0300-000007000000}" name="Organisation type" dataDxfId="370" totalsRowDxfId="369">
      <calculatedColumnFormula>checks!L11</calculatedColumnFormula>
    </tableColumn>
    <tableColumn id="5" xr3:uid="{00000000-0010-0000-0300-000005000000}" name="Name organisation" dataDxfId="368" totalsRowDxfId="367">
      <calculatedColumnFormula>checks!M11</calculatedColumnFormula>
    </tableColumn>
    <tableColumn id="6" xr3:uid="{00000000-0010-0000-0300-000006000000}" name="Amount" totalsRowFunction="custom" dataDxfId="366" totalsRowDxfId="365">
      <calculatedColumnFormula>IF(LEN(benchfee[[#This Row],[Category]])&gt;0,benchfee[[#This Row],['# Benchfee]]*benchfee_amount,"")</calculatedColumnFormula>
      <totalsRowFormula>SUM(benchfee[Amount])</totalsRowFormula>
    </tableColumn>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3000000}" name="cofunding_comb_notes" displayName="cofunding_comb_notes" ref="A328:E329" totalsRowShown="0" headerRowDxfId="71" dataDxfId="70">
  <autoFilter ref="A328:E329" xr:uid="{00000000-0009-0000-0100-000023000000}"/>
  <tableColumns count="5">
    <tableColumn id="1" xr3:uid="{00000000-0010-0000-2300-000001000000}" name="Combined notes" dataDxfId="69">
      <calculatedColumnFormula>cofunding_comb_notes[too less - no threshold]&amp;cofunding_comb_notes[too less - incl threshold]&amp;cofunding_comb_notes[private part too low]&amp;cofunding_comb_notes[too much]</calculatedColumnFormula>
    </tableColumn>
    <tableColumn id="2" xr3:uid="{00000000-0010-0000-2300-000002000000}" name="too less - no threshold" dataDxfId="68">
      <calculatedColumnFormula>IF(AND(cofunding_threshold=0,Total_cofunding&lt;cofunding_min_perc*Total_project_budget),$B$99,"")</calculatedColumnFormula>
    </tableColumn>
    <tableColumn id="3" xr3:uid="{00000000-0010-0000-2300-000003000000}" name="too less - incl threshold" dataDxfId="67">
      <calculatedColumnFormula>IF(AND(cofunding_threshold&gt;0,Total_cofunding&lt;cofunding_min_perc*(Total_project_budget-cofunding_threshold)),$B$98,"")</calculatedColumnFormula>
    </tableColumn>
    <tableColumn id="4" xr3:uid="{00000000-0010-0000-2300-000004000000}" name="private part too low" dataDxfId="66">
      <calculatedColumnFormula>IFERROR(IF(AND(total_private_cof&lt;cofunding_private_minperc*Total_project_budget,cofunding_comb_notes[too less - no threshold]="",cofunding_comb_notes[too less - incl threshold]=""),$B$100,""),"")</calculatedColumnFormula>
    </tableColumn>
    <tableColumn id="5" xr3:uid="{00000000-0010-0000-2300-000005000000}" name="too much" dataDxfId="65">
      <calculatedColumnFormula>IF(Total_cofunding&gt;cofunding_max_perc*Total_project_budget,B101,"")</calculatedColumn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5000000}" name="comb_notes_inkind" displayName="comb_notes_inkind" ref="A296:F306" totalsRowShown="0" headerRowDxfId="64" dataDxfId="63">
  <autoFilter ref="A296:F306" xr:uid="{00000000-0009-0000-0100-000025000000}"/>
  <tableColumns count="6">
    <tableColumn id="1" xr3:uid="{00000000-0010-0000-2500-000001000000}" name="Row nr" dataDxfId="62"/>
    <tableColumn id="2" xr3:uid="{00000000-0010-0000-2500-000002000000}" name="Combined notes" dataDxfId="61">
      <calculatedColumnFormula array="1">IFERROR(INDEX(#REF!,1,MATCH(TRUE,LEN(#REF!)&gt;0,0)),"")</calculatedColumnFormula>
    </tableColumn>
    <tableColumn id="3" xr3:uid="{00000000-0010-0000-2500-000003000000}" name="Empty line" dataDxfId="60">
      <calculatedColumnFormula>IFERROR(IF(AND(LEN(INDEX(inkind[Organisation + description],$A297))+LEN(INDEX(inkind[[ ]],$A297))+LEN(INDEX(inkind[[  ]],$A297))+LEN(INDEX(inkind[Nr of units or Nr of hours],$A297))&gt;0,LEN(INDEX(inkind[Organisation + description],$A297-1))+LEN(INDEX(inkind[[ ]],$A297-1))+LEN(INDEX(inkind[[  ]],$A297-1))+LEN(INDEX(inkind[Nr of units or Nr of hours],$A297-1))=0),$B$36,""),"")</calculatedColumnFormula>
    </tableColumn>
    <tableColumn id="4" xr3:uid="{00000000-0010-0000-2500-000004000000}" name="No type co-funding" dataDxfId="59">
      <calculatedColumnFormula>IF(AND(INDEX(inkind[Amount],$A297)&gt;0,LEN(INDEX(inkind[[ ]],$A297))=0,cofunding_inkind_def_rates="yes"),$B$93,"")</calculatedColumnFormula>
    </tableColumn>
    <tableColumn id="8" xr3:uid="{00000000-0010-0000-2500-000008000000}" name="Exceeding rate" dataDxfId="58">
      <calculatedColumnFormula array="1">IF(AND(INDEX(inkind[[ ]],$A297)="Personnel",INDEX(inkind[Unit price or hourly rate],$A297)&gt;cofunding_max_rate),$B$96,"")</calculatedColumnFormula>
    </tableColumn>
    <tableColumn id="9" xr3:uid="{00000000-0010-0000-2500-000009000000}" name="Type rate given" dataDxfId="57">
      <calculatedColumnFormula>IF(AND(INDEX(inkind[[ ]],$A297)="Materials",LEN(INDEX(inkind[[  ]],$A297))&gt;0),$B$94,"")</calculatedColumn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F80F25-0677-427B-8250-5F22A0152809}" name="KU_notes" displayName="KU_notes" ref="A274:I289" totalsRowShown="0" headerRowBorderDxfId="56" tableBorderDxfId="55">
  <autoFilter ref="A274:I289" xr:uid="{B9F80F25-0677-427B-8250-5F22A0152809}"/>
  <tableColumns count="9">
    <tableColumn id="1" xr3:uid="{54A3ADDE-EF04-4CD3-936B-D67C3C965F63}" name="Row nr" dataDxfId="54"/>
    <tableColumn id="2" xr3:uid="{1EA2A4BE-FCC9-4242-B174-D73FA48FA6E0}" name="Combined notes" dataDxfId="53">
      <calculatedColumnFormula array="1">IFERROR(INDEX(KU_notes[[#This Row],[Empty line]:[Amount not provided]],1,MATCH(TRUE,LEN(KU_notes[[#This Row],[Empty line]:[Amount not provided]])&gt;0,0)),"")</calculatedColumnFormula>
    </tableColumn>
    <tableColumn id="3" xr3:uid="{FB625609-D595-4676-8299-5D14E2CA7766}" name="Empty line" dataDxfId="52">
      <calculatedColumnFormula>IFERROR(IF(AND(empty_lines="no",LEN(INDEX(knowledge_utilisation[Description],KU_notes[[#This Row],[Row nr]]))=0,LEN(INDEX(knowledge_utilisation[Description],KU_notes[[#This Row],[Row nr]]+1))&gt;0),$B$36,""),"")</calculatedColumnFormula>
    </tableColumn>
    <tableColumn id="5" xr3:uid="{AAE6740B-F078-4E37-956D-B0F627C45A79}" name="Organisation type not specified" dataDxfId="51">
      <calculatedColumnFormula>IF(AND(organisation_type="yes",LEN(INDEX(knowledge_utilisation[Description],KU_notes[[#This Row],[Row nr]]))&gt;0,ISBLANK(INDEX(knowledge_utilisation[Organisation type],KU_notes[[#This Row],[Row nr]]))),$B$53,"")</calculatedColumnFormula>
    </tableColumn>
    <tableColumn id="6" xr3:uid="{29190DA3-7DA5-4CDD-B2CF-8487CCFC225D}" name="Org abroad - % too high" dataDxfId="50">
      <calculatedColumnFormula>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calculatedColumnFormula>
    </tableColumn>
    <tableColumn id="9" xr3:uid="{AF8BCD0E-718A-4115-A532-A4A153698037}" name="% of NWO budget too low" dataDxfId="49">
      <calculatedColumnFormula array="1">IF(AND(INDEX(knowledge_utilisation[Amount],KU_notes[[#This Row],[Row nr]])&gt;0,SUM(knowledge_utilisation[Amount])&lt;KU_minperc*Total_NWO_funding),$B$85,"")</calculatedColumnFormula>
    </tableColumn>
    <tableColumn id="10" xr3:uid="{8D585B42-E977-4C2A-B616-7AE063DDF264}" name="% of NWO budget too high" dataDxfId="48">
      <calculatedColumnFormula array="1">IF(AND(INDEX(knowledge_utilisation[Amount],KU_notes[[#This Row],[Row nr]])&gt;0,SUM(knowledge_utilisation[Amount])&gt;KU_maxperc*Total_NWO_funding),$B$86,"")</calculatedColumnFormula>
    </tableColumn>
    <tableColumn id="7" xr3:uid="{7B49B32D-331F-45C0-A8BE-A0D61E9BE5C7}" name="Organisation name not specified" dataDxfId="47">
      <calculatedColumnFormula>IF(AND(organisation_name="yes",LEN(INDEX(knowledge_utilisation[Description],KU_notes[[#This Row],[Row nr]]))&gt;0,LEN(INDEX(knowledge_utilisation[Organisation type],KU_notes[[#This Row],[Row nr]]))&gt;0,ISBLANK(INDEX(knowledge_utilisation[Name organisation],KU_notes[[#This Row],[Row nr]]))),$B$54,"")</calculatedColumnFormula>
    </tableColumn>
    <tableColumn id="4" xr3:uid="{D78C36A3-5B2A-4197-9CEE-119BD497C5E9}" name="Amount not provided" dataDxfId="46">
      <calculatedColumnFormula>IF(AND(LEN(INDEX(knowledge_utilisation[Description],KU_notes[[#This Row],[Row nr]]))&gt;0,INDEX(knowledge_utilisation[Amount],KU_notes[[#This Row],[Row nr]])=0),$B$88,"")</calculatedColumn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39CB6DA-E3ED-437F-9224-392E7668680C}" name="pers_fixed_notes" displayName="pers_fixed_notes" ref="A130:H230" totalsRowShown="0" headerRowDxfId="45" dataDxfId="44" tableBorderDxfId="43">
  <autoFilter ref="A130:H230" xr:uid="{B39CB6DA-E3ED-437F-9224-392E7668680C}"/>
  <tableColumns count="8">
    <tableColumn id="1" xr3:uid="{C7F10B54-1A41-41FC-9D37-60D688A3EE62}" name="Row nr" dataDxfId="42"/>
    <tableColumn id="2" xr3:uid="{1C33E37C-4F50-45EF-BA14-0F920A41DD79}" name="Combined notes" dataDxfId="41">
      <calculatedColumnFormula array="1">IFERROR(INDEX(pers_fixed_notes[[#This Row],[Empty lines]:[Name organisation not provided]],1,MATCH(TRUE,LEN(pers_fixed_notes[[#This Row],[Empty lines]:[Name organisation not provided]])&gt;0,0)),"")</calculatedColumnFormula>
    </tableColumn>
    <tableColumn id="7" xr3:uid="{FF2F1C1E-62ED-4C5A-B299-2C0E50B8A842}" name="Empty lines" dataDxfId="40">
      <calculatedColumnFormula>IFERROR(IF(AND(empty_lines="no",LEN(_xlfn.SINGLE(INDEX(#REF!,pers_fixed_notes[[#This Row],[Row nr]])))=0,LEN(_xlfn.SINGLE(INDEX(#REF!,pers_fixed_notes[[#This Row],[Row nr]]+1)))&gt;0),$B$36,""),"")</calculatedColumnFormula>
    </tableColumn>
    <tableColumn id="8" xr3:uid="{6B02E103-C5FB-400B-B2D1-1A78104ED724}" name="Empty description" dataDxfId="39">
      <calculatedColumnFormula array="1">IF(AND(LEN(INDEX(#REF!,pers_fixed_notes[[#This Row],[Row nr]],1))=0,LEN(INDEX(#REF!,pers_fixed_notes[[#This Row],[Row nr]],1))&gt;0),checks!$B$74,"")</calculatedColumnFormula>
    </tableColumn>
    <tableColumn id="3" xr3:uid="{A6CBAE31-2BD4-4003-BFEF-44AC0A792971}" name="Max amount too high" dataDxfId="38">
      <calculatedColumnFormula array="1">IF(AND(LEN(INDEX(#REF!,pers_fixed_notes[[#This Row],[Row nr]],1))&gt;0,#REF!&gt;pers_fixed_max_amount),checks!$B$72,"")</calculatedColumnFormula>
    </tableColumn>
    <tableColumn id="4" xr3:uid="{897B2357-065F-4827-A503-334ECEC5DB98}" name="Max perc too high" dataDxfId="37">
      <calculatedColumnFormula array="1">IF(AND(LEN(INDEX(#REF!,pers_fixed_notes[[#This Row],[Row nr]],1))&gt;0,#REF!&gt;pers_fixed_max_perc*Total_NWO_funding),checks!$B$73,"")</calculatedColumnFormula>
    </tableColumn>
    <tableColumn id="5" xr3:uid="{505E94C1-10AE-4E0F-9748-2379EC384776}" name="Type organisation not provided" dataDxfId="36">
      <calculatedColumnFormula>IF(AND(organisation_type="yes",_xlfn.SINGLE(INDEX(#REF!,pers_fixed_notes[[#This Row],[Row nr]],1))&lt;&gt;"",ISBLANK(_xlfn.SINGLE(INDEX(#REF!,pers_fixed_notes[[#This Row],[Row nr]],1)))),$B$53,"")</calculatedColumnFormula>
    </tableColumn>
    <tableColumn id="6" xr3:uid="{74C2F300-176B-42A5-AB32-EA743504AB22}" name="Name organisation not provided" dataDxfId="35">
      <calculatedColumnFormula>IF(AND(organisation_name="yes",_xlfn.SINGLE(INDEX(#REF!,pers_fixed_notes[[#This Row],[Row nr]],1))&lt;&gt;"",ISBLANK(_xlfn.SINGLE(INDEX(#REF!,pers_fixed_notes[[#This Row],[Row nr]],1)))),$B$54,"")</calculatedColumn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1F9051A-12E0-4A32-A86D-6C49FFD2F740}" name="check_benchfee" displayName="check_benchfee" ref="B10:F20" totalsRowShown="0" headerRowDxfId="34" dataDxfId="33" tableBorderDxfId="32">
  <autoFilter ref="B10:F20" xr:uid="{61F9051A-12E0-4A32-A86D-6C49FFD2F740}"/>
  <tableColumns count="5">
    <tableColumn id="1" xr3:uid="{F89340D0-99A6-4F8E-893A-5EDCD25F6DAB}" name="0" dataDxfId="31">
      <calculatedColumnFormula>IF(IFERROR(MATCH("*",OFFSET(Budget!$A$24,B10,0,ROWS(Personnel[]),1),0)+B10,999)&lt;ROWS(Personnel[]),IFERROR(MATCH("*",OFFSET(Budget!$A$24,B10,0,ROWS(Personnel[]),1),0)+B10,999),"")</calculatedColumnFormula>
    </tableColumn>
    <tableColumn id="2" xr3:uid="{26DF2B1D-4147-477B-8C9B-C79743CF3165}" name="Position" dataDxfId="30">
      <calculatedColumnFormula>IFERROR(INDEX(Personnel[Category],B11),"")</calculatedColumnFormula>
    </tableColumn>
    <tableColumn id="3" xr3:uid="{AE447BB9-061B-4AA1-8CFE-C4A79D5F5CA3}" name="organisation type" dataDxfId="29">
      <calculatedColumnFormula>IFERROR(INDEX(Personnel[Organisation type],B11),"")</calculatedColumnFormula>
    </tableColumn>
    <tableColumn id="4" xr3:uid="{5FCEA9EB-3947-4BB2-AB97-ADA1D693BC00}" name="PD appointment" dataDxfId="28">
      <calculatedColumnFormula>IF(B11="","",IF(_xlfn.IFNA(MATCH("*Postdoc*",C11,0)&gt;0,FALSE),IF(AND(INDEX(Personnel[FTE],B11)&gt;pers_PD_min_FTE,INDEX(Personnel[Months],B11)&gt;pers_PD_min_months),TRUE,FALSE),TRUE))</calculatedColumnFormula>
    </tableColumn>
    <tableColumn id="5" xr3:uid="{77527F24-3036-41A1-B8F7-2BE64F3DFD60}" name="eligible?" dataDxfId="2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8FC219B-E9AE-4FC2-8BAE-0320D6E90035}" name="result_benchfee" displayName="result_benchfee" ref="H10:N20" totalsRowShown="0" headerRowDxfId="26" dataDxfId="25">
  <autoFilter ref="H10:N20" xr:uid="{D8FC219B-E9AE-4FC2-8BAE-0320D6E90035}"/>
  <tableColumns count="7">
    <tableColumn id="1" xr3:uid="{7DF8F595-75A3-4D59-8884-4E4A9D6E7FE3}" name="0" dataDxfId="24">
      <calculatedColumnFormula array="1">IFERROR(_xlfn.IFNA(INDEX($B$11:$E$20,H10+MATCH("yes",OFFSET($F$11,H10,0,ROWS(Personnel[])-H10,1),0),1),""),"")</calculatedColumnFormula>
    </tableColumn>
    <tableColumn id="2" xr3:uid="{DA06DCC9-7042-40EA-90E5-F4582F7401FC}" name="Category" dataDxfId="23">
      <calculatedColumnFormula>IFERROR(INDEX(Personnel[Category],H11),"")</calculatedColumnFormula>
    </tableColumn>
    <tableColumn id="3" xr3:uid="{1B4DF5AC-FFB1-4B8C-99C9-36F769AF9BB4}" name="FTE" dataDxfId="22">
      <calculatedColumnFormula>IFERROR(INDEX(Personnel[FTE],H11),"")</calculatedColumnFormula>
    </tableColumn>
    <tableColumn id="4" xr3:uid="{38537017-8DE6-44E3-AEA1-051E2C9B16A0}" name="Months" dataDxfId="21">
      <calculatedColumnFormula>IFERROR(INDEX(Personnel[Months],H11),"")</calculatedColumnFormula>
    </tableColumn>
    <tableColumn id="5" xr3:uid="{DD055557-8572-42E4-85E6-0E609A80F0B7}" name="Organisation" dataDxfId="20">
      <calculatedColumnFormula>SUBSTITUTE(IFERROR(INDEX(Personnel[Organisation type],H11),""),0,"")</calculatedColumnFormula>
    </tableColumn>
    <tableColumn id="6" xr3:uid="{EFA145A1-7E93-4F78-8EC3-6BB6268F0BD5}" name="Name org" dataDxfId="19">
      <calculatedColumnFormula>SUBSTITUTE(IFERROR(INDEX(Personnel[Name organisation],H11),""),0,"")</calculatedColumnFormula>
    </tableColumn>
    <tableColumn id="7" xr3:uid="{3E778D86-A505-41F1-878A-D60C28240825}" name="Amount" dataDxfId="1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2F0860F-2C98-4645-B98E-934B9313797F}" name="private_cofunding" displayName="private_cofunding" ref="P10:Q20" totalsRowShown="0" headerRowDxfId="17" tableBorderDxfId="16">
  <autoFilter ref="P10:Q20" xr:uid="{72F0860F-2C98-4645-B98E-934B9313797F}"/>
  <tableColumns count="2">
    <tableColumn id="1" xr3:uid="{E6066DD8-B519-4F81-9EAB-072B586C8F6B}" name="Private co-funding - inkind" dataDxfId="15"/>
    <tableColumn id="2" xr3:uid="{ABEF62D5-E6A6-44F3-81B0-A3E9DF2052AB}" name="Private co-funding - incash" dataDxfId="14"/>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AF78E06-B544-4FEF-B6DC-FAB3AA3AF2DF}" name="pers_abr_amount_org" displayName="pers_abr_amount_org" ref="T10:W20" totalsRowShown="0" headerRowDxfId="13" dataDxfId="12">
  <autoFilter ref="T10:W20" xr:uid="{9AF78E06-B544-4FEF-B6DC-FAB3AA3AF2DF}"/>
  <tableColumns count="4">
    <tableColumn id="1" xr3:uid="{1E5F5E15-0D0D-4716-A568-3AF5CBEA8AE1}" name="0" dataDxfId="11">
      <calculatedColumnFormula>IF(IFERROR(MATCH(pers_int_listname,OFFSET(Budget!$F$24,T10,0,ROWS(Personnel[]),1),0)+T10,999)&lt;ROWS(Personnel[]),IFERROR(MATCH(pers_int_listname,OFFSET(Budget!$F$24,T10,0,ROWS(Personnel[]),1),0)+T10,999),"")</calculatedColumnFormula>
    </tableColumn>
    <tableColumn id="2" xr3:uid="{D2767BB2-E05F-49A9-9D7C-39BA68C38394}" name="Name org" dataDxfId="10">
      <calculatedColumnFormula>IFERROR(INDEX(Personnel[Name organisation],T11),"")</calculatedColumnFormula>
    </tableColumn>
    <tableColumn id="3" xr3:uid="{D28E1C43-7DEE-4BAE-88BC-13CC267B6F6F}" name="Amount" dataDxfId="9">
      <calculatedColumnFormula>IFERROR(INDEX(Personnel[Amount],T11),"")</calculatedColumnFormula>
    </tableColumn>
    <tableColumn id="4" xr3:uid="{5F9BF60D-4ACB-43B8-AFDA-7E74441C5CA0}" name="Total amount/org" dataDxfId="8">
      <calculatedColumnFormula>IF(SUMIF(pers_abr_amount_org[Name org],pers_abr_amount_org[[#This Row],[Name org]],pers_abr_amount_org[Amount])&gt;0,SUMIF(pers_abr_amount_org[Name org],pers_abr_amount_org[[#This Row],[Name org]],pers_abr_amount_org[Amount]),"")</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incash" displayName="incash" ref="A144:H155" totalsRowCount="1" headerRowDxfId="364" totalsRowDxfId="362" tableBorderDxfId="363">
  <autoFilter ref="A144:H154"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600-000001000000}" name="Organisation" dataDxfId="361" totalsRowDxfId="360"/>
    <tableColumn id="2" xr3:uid="{00000000-0010-0000-0600-000002000000}" name=" " dataDxfId="359" totalsRowDxfId="358"/>
    <tableColumn id="3" xr3:uid="{00000000-0010-0000-0600-000003000000}" name="  " dataDxfId="357" totalsRowDxfId="356"/>
    <tableColumn id="4" xr3:uid="{00000000-0010-0000-0600-000004000000}" name="   " dataDxfId="355" totalsRowDxfId="354"/>
    <tableColumn id="7" xr3:uid="{00000000-0010-0000-0600-000007000000}" name="    " totalsRowLabel="Sub total:" dataDxfId="353" totalsRowDxfId="352"/>
    <tableColumn id="5" xr3:uid="{00000000-0010-0000-0600-000005000000}" name="Organisation type" dataDxfId="351" totalsRowDxfId="350"/>
    <tableColumn id="8" xr3:uid="{00000000-0010-0000-0600-000008000000}" name="Name organisation" dataDxfId="349" totalsRowDxfId="348"/>
    <tableColumn id="6" xr3:uid="{00000000-0010-0000-0600-000006000000}" name="Amount" totalsRowFunction="custom" totalsRowDxfId="347">
      <totalsRowFormula>SUM(incash[Amount])</totalsRow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8000000}" name="materials" displayName="materials" ref="A52:H78" totalsRowCount="1" headerRowDxfId="346" totalsRowDxfId="344" tableBorderDxfId="345">
  <autoFilter ref="A52:H77"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800-000001000000}" name="Description" dataDxfId="343" totalsRowDxfId="342"/>
    <tableColumn id="2" xr3:uid="{00000000-0010-0000-0800-000002000000}" name=" " dataDxfId="341" totalsRowDxfId="340"/>
    <tableColumn id="3" xr3:uid="{00000000-0010-0000-0800-000003000000}" name="  " dataDxfId="339" totalsRowDxfId="338"/>
    <tableColumn id="4" xr3:uid="{00000000-0010-0000-0800-000004000000}" name="   " dataDxfId="337" totalsRowDxfId="336"/>
    <tableColumn id="7" xr3:uid="{00000000-0010-0000-0800-000007000000}" name="    " totalsRowLabel="Total material costs:" dataDxfId="335" totalsRowDxfId="334"/>
    <tableColumn id="5" xr3:uid="{00000000-0010-0000-0800-000005000000}" name="Organisation type" dataDxfId="333" totalsRowDxfId="332"/>
    <tableColumn id="8" xr3:uid="{00000000-0010-0000-0800-000008000000}" name="Name organisation" dataDxfId="331" totalsRowDxfId="330"/>
    <tableColumn id="6" xr3:uid="{00000000-0010-0000-0800-000006000000}" name="Amount" totalsRowFunction="custom" dataDxfId="329" totalsRowDxfId="328">
      <totalsRowFormula>SUM(materials[Amount])</totalsRow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nowledge_utilisation" displayName="knowledge_utilisation" ref="A102:H118" totalsRowCount="1" headerRowDxfId="327" dataDxfId="326" totalsRowDxfId="324" tableBorderDxfId="325">
  <autoFilter ref="A102:H117"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B00-000001000000}" name="Description" dataDxfId="323" totalsRowDxfId="322"/>
    <tableColumn id="2" xr3:uid="{00000000-0010-0000-0B00-000002000000}" name=" " dataDxfId="321" totalsRowDxfId="320"/>
    <tableColumn id="3" xr3:uid="{00000000-0010-0000-0B00-000003000000}" name="  " dataDxfId="319" totalsRowDxfId="318"/>
    <tableColumn id="4" xr3:uid="{00000000-0010-0000-0B00-000004000000}" name="   " dataDxfId="317" totalsRowDxfId="316"/>
    <tableColumn id="7" xr3:uid="{00000000-0010-0000-0B00-000007000000}" name="    " totalsRowLabel="Total knowledge utilisation:" dataDxfId="315" totalsRowDxfId="314"/>
    <tableColumn id="5" xr3:uid="{00000000-0010-0000-0B00-000005000000}" name="Organisation type" dataDxfId="313" totalsRowDxfId="312"/>
    <tableColumn id="8" xr3:uid="{00000000-0010-0000-0B00-000008000000}" name="Name organisation" dataDxfId="311" totalsRowDxfId="310"/>
    <tableColumn id="6" xr3:uid="{00000000-0010-0000-0B00-000006000000}" name="Amount" totalsRowFunction="custom" dataDxfId="309" totalsRowDxfId="308">
      <calculatedColumnFormula>SUM(knowledge_utilisation[Amount])</calculatedColumnFormula>
      <totalsRowFormula>SUM(knowledge_utilisation[Amount])</totalsRow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2000000}" name="investments_small" displayName="investments_small" ref="A81:H97" totalsRowCount="1" headerRowDxfId="307" totalsRowDxfId="305" tableBorderDxfId="306">
  <autoFilter ref="A81:H96"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200-000001000000}" name="Description" dataDxfId="304" totalsRowDxfId="303"/>
    <tableColumn id="2" xr3:uid="{00000000-0010-0000-1200-000002000000}" name=" " dataDxfId="302" totalsRowDxfId="301"/>
    <tableColumn id="3" xr3:uid="{00000000-0010-0000-1200-000003000000}" name="  " dataDxfId="300" totalsRowDxfId="299"/>
    <tableColumn id="4" xr3:uid="{00000000-0010-0000-1200-000004000000}" name="   " dataDxfId="298" totalsRowDxfId="297"/>
    <tableColumn id="7" xr3:uid="{00000000-0010-0000-1200-000007000000}" name="    " totalsRowLabel="Sub total:" dataDxfId="296" totalsRowDxfId="295"/>
    <tableColumn id="5" xr3:uid="{00000000-0010-0000-1200-000005000000}" name="Organisation type" dataDxfId="294" totalsRowDxfId="293"/>
    <tableColumn id="8" xr3:uid="{00000000-0010-0000-1200-000008000000}" name="Name organisation" dataDxfId="292" totalsRowDxfId="291"/>
    <tableColumn id="6" xr3:uid="{00000000-0010-0000-1200-000006000000}" name="Amount" totalsRowFunction="custom" dataDxfId="290" totalsRowDxfId="289">
      <totalsRowFormula>SUM(investments_small[Amount])</totalsRow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4000000}" name="inkind" displayName="inkind" ref="A131:H142" totalsRowCount="1" totalsRowDxfId="287" tableBorderDxfId="288">
  <autoFilter ref="A131:H141"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400-000001000000}" name="Organisation + description" dataDxfId="286" totalsRowDxfId="285"/>
    <tableColumn id="2" xr3:uid="{00000000-0010-0000-1400-000002000000}" name=" " dataDxfId="284" totalsRowDxfId="283"/>
    <tableColumn id="3" xr3:uid="{00000000-0010-0000-1400-000003000000}" name="  " dataDxfId="282" totalsRowDxfId="281"/>
    <tableColumn id="4" xr3:uid="{00000000-0010-0000-1400-000004000000}" name="Nr of units or Nr of hours" dataDxfId="280" totalsRowDxfId="279"/>
    <tableColumn id="5" xr3:uid="{00000000-0010-0000-1400-000005000000}" name="Unit price or hourly rate" totalsRowLabel="Sub total:" dataDxfId="278" totalsRowDxfId="277"/>
    <tableColumn id="6" xr3:uid="{00000000-0010-0000-1400-000006000000}" name="Organisation type" dataDxfId="276" totalsRowDxfId="275"/>
    <tableColumn id="7" xr3:uid="{00000000-0010-0000-1400-000007000000}" name="Name organisation" dataDxfId="274" totalsRowDxfId="273"/>
    <tableColumn id="8" xr3:uid="{00000000-0010-0000-1400-000008000000}" name="Amount" totalsRowFunction="custom" dataDxfId="272" totalsRowDxfId="271">
      <calculatedColumnFormula>inkind[[#This Row],[Nr of units or Nr of hours]]*inkind[[#This Row],[Unit price or hourly rate]]</calculatedColumnFormula>
      <totalsRowFormula>SUM(inkind[Amount])</totalsRow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9731305-35EC-4B35-B140-85543DCF91A6}" name="excess_costs" displayName="excess_costs" ref="A121:H127" totalsRowCount="1" headerRowDxfId="270" tableBorderDxfId="269">
  <tableColumns count="8">
    <tableColumn id="1" xr3:uid="{34751597-F637-440C-9F06-18D82E1CE025}" name="Description" dataDxfId="268" totalsRowDxfId="267"/>
    <tableColumn id="2" xr3:uid="{9BFA1682-EEA1-4701-9E2E-1E02713C2CC6}" name=" " dataDxfId="266" totalsRowDxfId="265"/>
    <tableColumn id="3" xr3:uid="{E0F85B6A-0541-4096-A541-2F372CFF3F24}" name="  " dataDxfId="264" totalsRowDxfId="263"/>
    <tableColumn id="4" xr3:uid="{8BC1FD95-9256-46D4-AE0E-32CC8E042CFA}" name="   " dataDxfId="262" totalsRowDxfId="261"/>
    <tableColumn id="5" xr3:uid="{9C8B4520-C8B6-4A81-9C26-F30C07C39EF2}" name="    " totalsRowLabel="Total covering excess costs by host institute:" dataDxfId="260" totalsRowDxfId="259"/>
    <tableColumn id="6" xr3:uid="{4BBA9997-2B97-44CD-B0F3-ADF5263FEF9C}" name="Organisation type" dataDxfId="258" totalsRowDxfId="257"/>
    <tableColumn id="7" xr3:uid="{9717DCFE-92A9-487D-A949-A4EFCDD6DAA2}" name="Name organisation" dataDxfId="256" totalsRowDxfId="255"/>
    <tableColumn id="8" xr3:uid="{B2E834B8-D877-4CB9-BE4A-22970C387CC5}" name="Amount" totalsRowFunction="custom" dataDxfId="254" totalsRowDxfId="253">
      <calculatedColumnFormula>SUM(excess_costs[Amount])</calculatedColumnFormula>
      <totalsRowFormula>SUM(excess_costs[Amount])</totalsRow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6000000}" name="list_academic" displayName="list_academic" ref="C301:C311" totalsRowShown="0" headerRowDxfId="252" dataDxfId="251">
  <autoFilter ref="C301:C311" xr:uid="{00000000-0009-0000-0100-000006000000}"/>
  <tableColumns count="1">
    <tableColumn id="1" xr3:uid="{00000000-0010-0000-1600-000001000000}" name="type institute - academic:" dataDxfId="250"/>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table" Target="../tables/table13.xml"/><Relationship Id="rId3" Type="http://schemas.openxmlformats.org/officeDocument/2006/relationships/printerSettings" Target="../printerSettings/printerSettings4.bin"/><Relationship Id="rId7" Type="http://schemas.openxmlformats.org/officeDocument/2006/relationships/table" Target="../tables/table12.xml"/><Relationship Id="rId2" Type="http://schemas.openxmlformats.org/officeDocument/2006/relationships/hyperlink" Target="https://www.nwo.nl/documents/nwo/beleid/money-follows-cooperation/nwo-country-correction-coefficients-ccc" TargetMode="External"/><Relationship Id="rId1" Type="http://schemas.openxmlformats.org/officeDocument/2006/relationships/hyperlink" Target="https://www.iso.org/iso-3166-country-codes.html" TargetMode="External"/><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0" Type="http://schemas.openxmlformats.org/officeDocument/2006/relationships/table" Target="../tables/table15.xml"/><Relationship Id="rId4" Type="http://schemas.openxmlformats.org/officeDocument/2006/relationships/table" Target="../tables/table9.xml"/><Relationship Id="rId9" Type="http://schemas.openxmlformats.org/officeDocument/2006/relationships/table" Target="../tables/table1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3.xml"/><Relationship Id="rId3" Type="http://schemas.openxmlformats.org/officeDocument/2006/relationships/table" Target="../tables/table18.xml"/><Relationship Id="rId7" Type="http://schemas.openxmlformats.org/officeDocument/2006/relationships/table" Target="../tables/table22.xml"/><Relationship Id="rId12" Type="http://schemas.openxmlformats.org/officeDocument/2006/relationships/table" Target="../tables/table27.xml"/><Relationship Id="rId2" Type="http://schemas.openxmlformats.org/officeDocument/2006/relationships/table" Target="../tables/table17.xml"/><Relationship Id="rId1" Type="http://schemas.openxmlformats.org/officeDocument/2006/relationships/printerSettings" Target="../printerSettings/printerSettings5.bin"/><Relationship Id="rId6" Type="http://schemas.openxmlformats.org/officeDocument/2006/relationships/table" Target="../tables/table21.xml"/><Relationship Id="rId11" Type="http://schemas.openxmlformats.org/officeDocument/2006/relationships/table" Target="../tables/table26.xml"/><Relationship Id="rId5" Type="http://schemas.openxmlformats.org/officeDocument/2006/relationships/table" Target="../tables/table20.xml"/><Relationship Id="rId10" Type="http://schemas.openxmlformats.org/officeDocument/2006/relationships/table" Target="../tables/table25.xml"/><Relationship Id="rId4" Type="http://schemas.openxmlformats.org/officeDocument/2006/relationships/table" Target="../tables/table19.xml"/><Relationship Id="rId9"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4"/>
  <dimension ref="A1:N64"/>
  <sheetViews>
    <sheetView showGridLines="0" zoomScale="115" zoomScaleNormal="115" workbookViewId="0">
      <selection activeCell="B14" sqref="B14"/>
    </sheetView>
  </sheetViews>
  <sheetFormatPr defaultColWidth="0" defaultRowHeight="14.4" zeroHeight="1" x14ac:dyDescent="0.3"/>
  <cols>
    <col min="1" max="1" width="29.77734375" style="96" customWidth="1"/>
    <col min="2" max="2" width="11.77734375" style="96" customWidth="1"/>
    <col min="3" max="3" width="11.21875" style="96" customWidth="1"/>
    <col min="4" max="4" width="11.44140625" style="96" customWidth="1"/>
    <col min="5" max="8" width="9.21875" style="96" customWidth="1"/>
    <col min="9" max="9" width="24" style="96" customWidth="1"/>
    <col min="10" max="10" width="11.21875" style="96" customWidth="1"/>
    <col min="11" max="14" width="9.21875" style="96" customWidth="1"/>
    <col min="15" max="16384" width="9.21875" style="96" hidden="1"/>
  </cols>
  <sheetData>
    <row r="1" spans="1:10" ht="18" x14ac:dyDescent="0.35">
      <c r="A1" s="132" t="s">
        <v>681</v>
      </c>
      <c r="D1" s="97"/>
      <c r="G1" s="97"/>
    </row>
    <row r="2" spans="1:10" x14ac:dyDescent="0.3">
      <c r="A2" s="133" t="s">
        <v>573</v>
      </c>
      <c r="B2" s="346" t="str">
        <f>callnaam</f>
        <v>NWO Talent Programme - Veni 2025</v>
      </c>
      <c r="C2" s="347"/>
      <c r="D2" s="97"/>
      <c r="G2" s="97"/>
    </row>
    <row r="3" spans="1:10" x14ac:dyDescent="0.3">
      <c r="A3" s="134" t="s">
        <v>808</v>
      </c>
      <c r="B3" s="348">
        <f>VSNU_rates</f>
        <v>45839</v>
      </c>
      <c r="C3" s="349"/>
      <c r="D3" s="97"/>
      <c r="G3" s="97"/>
    </row>
    <row r="4" spans="1:10" x14ac:dyDescent="0.3">
      <c r="A4" s="134" t="s">
        <v>547</v>
      </c>
      <c r="B4" s="348">
        <f>NFU_rates</f>
        <v>45778</v>
      </c>
      <c r="C4" s="349"/>
      <c r="D4" s="97"/>
      <c r="E4" s="98"/>
      <c r="F4" s="99"/>
      <c r="G4" s="97"/>
    </row>
    <row r="5" spans="1:10" x14ac:dyDescent="0.3">
      <c r="A5" s="134" t="s">
        <v>809</v>
      </c>
      <c r="B5" s="350">
        <f>HOT_rates</f>
        <v>2025</v>
      </c>
      <c r="C5" s="351"/>
      <c r="D5" s="97"/>
      <c r="E5" s="98"/>
      <c r="F5" s="99"/>
      <c r="G5" s="97"/>
    </row>
    <row r="6" spans="1:10" x14ac:dyDescent="0.3">
      <c r="A6" s="134" t="s">
        <v>1</v>
      </c>
      <c r="B6" s="350" t="str">
        <f>IF(ISBLANK(File_number),"-",File_number)</f>
        <v>-</v>
      </c>
      <c r="C6" s="351"/>
      <c r="D6" s="97"/>
      <c r="E6" s="98"/>
      <c r="F6" s="99"/>
      <c r="G6" s="97"/>
    </row>
    <row r="7" spans="1:10" x14ac:dyDescent="0.3">
      <c r="A7" s="134" t="s">
        <v>574</v>
      </c>
      <c r="B7" s="344" t="str">
        <f>cash_invoice</f>
        <v>knowledge institute</v>
      </c>
      <c r="C7" s="345"/>
      <c r="D7" s="97"/>
      <c r="E7" s="98"/>
      <c r="F7" s="99"/>
      <c r="G7" s="97"/>
    </row>
    <row r="8" spans="1:10" x14ac:dyDescent="0.3">
      <c r="A8" s="100"/>
      <c r="B8" s="97"/>
      <c r="C8" s="97"/>
      <c r="D8" s="97"/>
      <c r="E8" s="97"/>
      <c r="F8" s="97"/>
      <c r="G8" s="97"/>
    </row>
    <row r="9" spans="1:10" ht="18" x14ac:dyDescent="0.35">
      <c r="A9" s="132" t="s">
        <v>575</v>
      </c>
      <c r="B9" s="97"/>
      <c r="C9" s="97"/>
      <c r="D9" s="97"/>
      <c r="E9" s="97"/>
      <c r="F9" s="97"/>
      <c r="G9" s="97"/>
    </row>
    <row r="10" spans="1:10" ht="15" thickBot="1" x14ac:dyDescent="0.35">
      <c r="A10" s="164" t="s">
        <v>576</v>
      </c>
      <c r="B10" s="165" t="s">
        <v>10</v>
      </c>
      <c r="C10"/>
      <c r="D10"/>
      <c r="E10"/>
      <c r="F10"/>
      <c r="G10"/>
      <c r="H10"/>
      <c r="I10"/>
      <c r="J10" s="135"/>
    </row>
    <row r="11" spans="1:10" x14ac:dyDescent="0.3">
      <c r="A11" s="136" t="s">
        <v>577</v>
      </c>
      <c r="B11" s="137">
        <f ca="1">Total_personnel_costs</f>
        <v>0</v>
      </c>
      <c r="C11"/>
      <c r="D11"/>
      <c r="E11"/>
      <c r="F11"/>
      <c r="G11"/>
      <c r="H11"/>
      <c r="I11"/>
    </row>
    <row r="12" spans="1:10" x14ac:dyDescent="0.3">
      <c r="A12" s="138" t="s">
        <v>578</v>
      </c>
      <c r="B12" s="139">
        <f ca="1">Total_personnel_ac_institutes+Total_benchfee</f>
        <v>0</v>
      </c>
      <c r="C12"/>
      <c r="D12"/>
      <c r="E12"/>
      <c r="F12"/>
      <c r="G12"/>
      <c r="H12"/>
      <c r="I12"/>
    </row>
    <row r="13" spans="1:10" x14ac:dyDescent="0.3">
      <c r="A13" s="138" t="s">
        <v>548</v>
      </c>
      <c r="B13" s="139">
        <f>Total_personnel_other</f>
        <v>0</v>
      </c>
      <c r="C13"/>
      <c r="D13"/>
      <c r="E13"/>
      <c r="F13"/>
      <c r="G13"/>
      <c r="H13"/>
      <c r="I13"/>
    </row>
    <row r="14" spans="1:10" ht="15.6" x14ac:dyDescent="0.3">
      <c r="A14" s="140" t="s">
        <v>549</v>
      </c>
      <c r="B14" s="141">
        <f>Total_material_costs</f>
        <v>0</v>
      </c>
      <c r="C14"/>
      <c r="D14"/>
      <c r="E14"/>
      <c r="F14"/>
      <c r="G14"/>
      <c r="H14"/>
      <c r="I14"/>
      <c r="J14" s="101"/>
    </row>
    <row r="15" spans="1:10" ht="15.6" x14ac:dyDescent="0.3">
      <c r="A15" s="140" t="s">
        <v>579</v>
      </c>
      <c r="B15" s="141">
        <f>_xlfn.SINGLE(Total_investments)+_xlfn.SINGLE(Total_invest_by_KI)</f>
        <v>0</v>
      </c>
      <c r="C15"/>
      <c r="D15"/>
      <c r="E15"/>
      <c r="F15"/>
      <c r="G15"/>
      <c r="H15"/>
      <c r="I15"/>
      <c r="J15" s="101"/>
    </row>
    <row r="16" spans="1:10" ht="15.6" x14ac:dyDescent="0.3">
      <c r="A16" s="140" t="s">
        <v>673</v>
      </c>
      <c r="B16" s="141">
        <f>Total_Knowledge_utilisation</f>
        <v>0</v>
      </c>
      <c r="C16"/>
      <c r="D16"/>
      <c r="E16"/>
      <c r="F16"/>
      <c r="G16"/>
      <c r="H16"/>
      <c r="I16"/>
      <c r="J16" s="101"/>
    </row>
    <row r="17" spans="1:10" ht="15.6" x14ac:dyDescent="0.3">
      <c r="A17" s="140" t="s">
        <v>550</v>
      </c>
      <c r="B17" s="141">
        <f>_xlfn.SINGLE(Total_project_mngmnt)</f>
        <v>0</v>
      </c>
      <c r="C17"/>
      <c r="D17"/>
      <c r="E17"/>
      <c r="F17"/>
      <c r="G17"/>
      <c r="H17"/>
      <c r="I17"/>
      <c r="J17" s="101"/>
    </row>
    <row r="18" spans="1:10" ht="15" customHeight="1" x14ac:dyDescent="0.3">
      <c r="A18" s="142" t="s">
        <v>580</v>
      </c>
      <c r="B18" s="143" cm="1">
        <f t="array" aca="1" ref="B18" ca="1">Total_personnel_costs+Total_material_costs+Total_investments+Total_Knowledge_utilisation+Total_project_mngmnt</f>
        <v>0</v>
      </c>
      <c r="C18"/>
      <c r="D18"/>
      <c r="E18"/>
      <c r="F18"/>
      <c r="G18"/>
      <c r="H18"/>
      <c r="I18"/>
      <c r="J18" s="101"/>
    </row>
    <row r="19" spans="1:10" ht="15.6" x14ac:dyDescent="0.3">
      <c r="A19" s="101"/>
      <c r="B19" s="104"/>
      <c r="C19"/>
      <c r="D19" s="104"/>
      <c r="E19" s="104"/>
      <c r="F19" s="104"/>
      <c r="G19" s="104"/>
      <c r="H19" s="104"/>
      <c r="I19" s="104"/>
      <c r="J19" s="101"/>
    </row>
    <row r="20" spans="1:10" ht="18" x14ac:dyDescent="0.35">
      <c r="A20" s="163" t="s">
        <v>581</v>
      </c>
      <c r="B20" s="104"/>
      <c r="C20"/>
      <c r="D20" s="104"/>
      <c r="E20" s="104"/>
      <c r="F20" s="104"/>
      <c r="G20" s="104"/>
      <c r="H20" s="104"/>
      <c r="I20" s="104"/>
      <c r="J20" s="101"/>
    </row>
    <row r="21" spans="1:10" ht="15.6" x14ac:dyDescent="0.3">
      <c r="A21" s="144" t="s">
        <v>596</v>
      </c>
      <c r="B21" s="145" t="s">
        <v>10</v>
      </c>
      <c r="C21" s="146" t="s">
        <v>582</v>
      </c>
      <c r="D21" s="145" t="s">
        <v>583</v>
      </c>
      <c r="E21" s="147"/>
      <c r="F21" s="104"/>
      <c r="G21" s="104"/>
      <c r="H21" s="104"/>
      <c r="I21" s="104"/>
      <c r="J21" s="101"/>
    </row>
    <row r="22" spans="1:10" ht="15.6" x14ac:dyDescent="0.3">
      <c r="A22" s="148" t="s">
        <v>584</v>
      </c>
      <c r="B22" s="149">
        <f ca="1">Total_NWO_funding</f>
        <v>0</v>
      </c>
      <c r="C22" s="149">
        <f ca="1">Total_NWO_funding</f>
        <v>0</v>
      </c>
      <c r="D22" s="149" t="s">
        <v>585</v>
      </c>
      <c r="E22" s="147"/>
      <c r="F22" s="104"/>
      <c r="G22" s="104"/>
      <c r="H22" s="104"/>
      <c r="I22" s="104"/>
      <c r="J22" s="101"/>
    </row>
    <row r="23" spans="1:10" ht="15.6" x14ac:dyDescent="0.3">
      <c r="A23" s="150" t="s">
        <v>586</v>
      </c>
      <c r="B23" s="151">
        <f>Total_cofunding_inkind</f>
        <v>0</v>
      </c>
      <c r="C23" s="152" t="s">
        <v>585</v>
      </c>
      <c r="D23" s="151" t="s">
        <v>585</v>
      </c>
      <c r="E23" s="147"/>
      <c r="F23" s="104"/>
      <c r="G23" s="104"/>
      <c r="H23" s="104"/>
      <c r="I23" s="104"/>
      <c r="J23" s="101"/>
    </row>
    <row r="24" spans="1:10" ht="15.6" x14ac:dyDescent="0.3">
      <c r="A24" s="150" t="s">
        <v>587</v>
      </c>
      <c r="B24" s="151">
        <f>_xlfn.SINGLE(Total_invest_by_KI)</f>
        <v>0</v>
      </c>
      <c r="C24" s="152" t="s">
        <v>585</v>
      </c>
      <c r="D24" s="151">
        <f>_xlfn.SINGLE(Total_invest_by_KI)</f>
        <v>0</v>
      </c>
      <c r="E24" s="147"/>
      <c r="F24" s="104"/>
      <c r="G24" s="104"/>
      <c r="H24" s="104"/>
      <c r="I24" s="104"/>
      <c r="J24" s="101"/>
    </row>
    <row r="25" spans="1:10" ht="15.6" x14ac:dyDescent="0.3">
      <c r="A25" s="150" t="s">
        <v>588</v>
      </c>
      <c r="B25" s="151">
        <f>Total_cofunding_incash</f>
        <v>0</v>
      </c>
      <c r="C25" s="149">
        <f>IF(cash_invoice="NWO",Total_cofunding_incash,0)</f>
        <v>0</v>
      </c>
      <c r="D25" s="151">
        <f>Total_cofunding_incash-C25</f>
        <v>0</v>
      </c>
      <c r="E25" s="147"/>
      <c r="F25" s="104"/>
      <c r="G25" s="104"/>
      <c r="H25" s="104"/>
      <c r="I25" s="104"/>
      <c r="J25" s="101"/>
    </row>
    <row r="26" spans="1:10" ht="15.6" x14ac:dyDescent="0.3">
      <c r="A26" s="150" t="s">
        <v>589</v>
      </c>
      <c r="B26" s="151">
        <f>_xlfn.SINGLE(Total_projectfee)</f>
        <v>0</v>
      </c>
      <c r="C26" s="149">
        <f>_xlfn.SINGLE(IF(cash_invoice="NWO",Total_projectfee,0))</f>
        <v>0</v>
      </c>
      <c r="D26" s="151">
        <f>_xlfn.SINGLE(Total_projectfee)-C26</f>
        <v>0</v>
      </c>
      <c r="E26" s="147"/>
      <c r="F26" s="104"/>
      <c r="G26" s="104"/>
      <c r="H26" s="104"/>
      <c r="I26" s="104"/>
      <c r="J26" s="101"/>
    </row>
    <row r="27" spans="1:10" ht="15.6" x14ac:dyDescent="0.3">
      <c r="A27" s="153" t="s">
        <v>590</v>
      </c>
      <c r="B27" s="154" cm="1">
        <f t="array" ref="B27">Total_invest_by_KI+Total_incash_cofunding+Total_projectfee</f>
        <v>0</v>
      </c>
      <c r="C27" s="155">
        <f>SUM(C24:C26)</f>
        <v>0</v>
      </c>
      <c r="D27" s="154">
        <f>SUM(D23:D26)</f>
        <v>0</v>
      </c>
      <c r="E27" s="147"/>
      <c r="F27" s="104"/>
      <c r="G27" s="104"/>
      <c r="H27" s="104"/>
      <c r="I27" s="104"/>
      <c r="J27" s="101"/>
    </row>
    <row r="28" spans="1:10" ht="15.6" x14ac:dyDescent="0.3">
      <c r="A28" s="156" t="s">
        <v>591</v>
      </c>
      <c r="B28" s="157">
        <f ca="1">SUM(B22:B26)</f>
        <v>0</v>
      </c>
      <c r="C28" s="158">
        <f ca="1">SUM(C22:C26)</f>
        <v>0</v>
      </c>
      <c r="D28" s="157">
        <f>SUM(D22:D26)</f>
        <v>0</v>
      </c>
      <c r="E28" s="147"/>
      <c r="F28" s="104"/>
      <c r="G28" s="104"/>
      <c r="H28" s="104"/>
      <c r="I28" s="104"/>
      <c r="J28" s="101"/>
    </row>
    <row r="29" spans="1:10" ht="15.6" x14ac:dyDescent="0.3">
      <c r="E29" s="147"/>
      <c r="F29" s="104"/>
      <c r="G29" s="104"/>
      <c r="H29" s="104"/>
      <c r="I29" s="104"/>
      <c r="J29" s="101"/>
    </row>
    <row r="30" spans="1:10" ht="15.6" x14ac:dyDescent="0.3">
      <c r="A30" s="159" t="s">
        <v>592</v>
      </c>
      <c r="B30" s="160">
        <f ca="1">Total_resources+Total_cofunding_inkind</f>
        <v>0</v>
      </c>
      <c r="C30" s="161"/>
      <c r="D30" s="147"/>
      <c r="E30" s="147"/>
      <c r="F30" s="104"/>
      <c r="G30" s="104"/>
      <c r="H30" s="104"/>
      <c r="I30" s="104"/>
      <c r="J30" s="101"/>
    </row>
    <row r="31" spans="1:10" ht="15.6" x14ac:dyDescent="0.3">
      <c r="A31" s="159" t="s">
        <v>593</v>
      </c>
      <c r="B31" s="160">
        <f ca="1">Total_NWO_funding</f>
        <v>0</v>
      </c>
      <c r="C31" s="161"/>
      <c r="D31" s="147"/>
      <c r="E31" s="147"/>
      <c r="F31" s="104"/>
      <c r="G31" s="104"/>
      <c r="H31" s="104"/>
      <c r="I31" s="104"/>
      <c r="J31" s="101"/>
    </row>
    <row r="32" spans="1:10" ht="15.6" x14ac:dyDescent="0.3">
      <c r="A32" s="159" t="s">
        <v>594</v>
      </c>
      <c r="B32" s="160">
        <f ca="1">Total_cash_via_NWO</f>
        <v>0</v>
      </c>
      <c r="C32" s="161"/>
      <c r="D32" s="147"/>
      <c r="E32" s="147"/>
      <c r="F32" s="104"/>
      <c r="G32" s="104"/>
      <c r="H32" s="104"/>
      <c r="I32" s="104"/>
      <c r="J32" s="101"/>
    </row>
    <row r="33" spans="1:10" ht="15.6" x14ac:dyDescent="0.3">
      <c r="A33" s="101"/>
      <c r="B33" s="104"/>
      <c r="C33"/>
      <c r="D33" s="104"/>
      <c r="E33" s="104"/>
      <c r="F33" s="104"/>
      <c r="G33" s="104"/>
      <c r="H33" s="104"/>
      <c r="I33" s="104"/>
      <c r="J33" s="101"/>
    </row>
    <row r="34" spans="1:10" ht="18" x14ac:dyDescent="0.35">
      <c r="A34" s="132" t="s">
        <v>641</v>
      </c>
      <c r="B34" s="104"/>
      <c r="C34"/>
      <c r="E34" s="104"/>
      <c r="F34" s="104"/>
      <c r="G34" s="222">
        <f ca="1">IFERROR(MATCH("Co-funding",Budget!A1:A8044,0),999)</f>
        <v>999</v>
      </c>
      <c r="H34" s="104"/>
      <c r="I34" s="162" t="s">
        <v>595</v>
      </c>
      <c r="J34" s="101"/>
    </row>
    <row r="35" spans="1:10" ht="14.25" customHeight="1" x14ac:dyDescent="0.3">
      <c r="A35"/>
      <c r="B35"/>
      <c r="C35"/>
      <c r="D35" s="104"/>
      <c r="E35" s="104"/>
      <c r="F35" s="104"/>
      <c r="G35" s="104"/>
      <c r="H35" s="104"/>
      <c r="I35"/>
      <c r="J35"/>
    </row>
    <row r="36" spans="1:10" ht="15.6" x14ac:dyDescent="0.3">
      <c r="A36"/>
      <c r="B36"/>
      <c r="C36"/>
      <c r="D36" s="104"/>
      <c r="E36" s="104"/>
      <c r="F36" s="104"/>
      <c r="G36" s="104"/>
      <c r="H36" s="104"/>
      <c r="I36"/>
      <c r="J36"/>
    </row>
    <row r="37" spans="1:10" x14ac:dyDescent="0.3">
      <c r="A37"/>
      <c r="B37"/>
      <c r="C37"/>
      <c r="D37" s="102"/>
      <c r="E37" s="103" t="s">
        <v>153</v>
      </c>
      <c r="F37" s="97"/>
      <c r="G37" s="97"/>
      <c r="I37"/>
      <c r="J37"/>
    </row>
    <row r="38" spans="1:10" ht="15.6" x14ac:dyDescent="0.3">
      <c r="A38"/>
      <c r="B38"/>
      <c r="C38"/>
      <c r="D38" s="104"/>
      <c r="E38" s="97"/>
      <c r="F38" s="97" t="s">
        <v>153</v>
      </c>
      <c r="G38" s="97"/>
      <c r="I38"/>
      <c r="J38"/>
    </row>
    <row r="39" spans="1:10" ht="15.6" x14ac:dyDescent="0.3">
      <c r="A39"/>
      <c r="B39"/>
      <c r="C39"/>
      <c r="D39" s="104"/>
      <c r="E39" s="97"/>
      <c r="F39" s="97"/>
      <c r="G39" s="97"/>
      <c r="I39"/>
      <c r="J39"/>
    </row>
    <row r="40" spans="1:10" ht="15.6" x14ac:dyDescent="0.3">
      <c r="A40"/>
      <c r="B40"/>
      <c r="C40"/>
      <c r="D40" s="105"/>
      <c r="E40" s="97"/>
      <c r="F40" s="97"/>
      <c r="G40" s="97"/>
      <c r="I40"/>
      <c r="J40"/>
    </row>
    <row r="41" spans="1:10" x14ac:dyDescent="0.3">
      <c r="A41"/>
      <c r="B41"/>
      <c r="C41"/>
      <c r="D41" s="97"/>
      <c r="E41" s="97"/>
      <c r="F41" s="97"/>
      <c r="G41" s="97"/>
      <c r="I41"/>
      <c r="J41"/>
    </row>
    <row r="42" spans="1:10" x14ac:dyDescent="0.3">
      <c r="A42"/>
      <c r="B42"/>
      <c r="C42"/>
      <c r="D42" s="97"/>
      <c r="E42" s="97" t="s">
        <v>153</v>
      </c>
      <c r="F42" s="97"/>
      <c r="G42" s="97"/>
      <c r="I42"/>
      <c r="J42"/>
    </row>
    <row r="43" spans="1:10" x14ac:dyDescent="0.3">
      <c r="A43"/>
      <c r="B43"/>
      <c r="C43"/>
      <c r="D43" s="97"/>
      <c r="E43" s="97"/>
      <c r="F43" s="97"/>
      <c r="G43" s="97"/>
      <c r="I43"/>
      <c r="J43"/>
    </row>
    <row r="44" spans="1:10" x14ac:dyDescent="0.3">
      <c r="A44"/>
      <c r="B44"/>
      <c r="C44"/>
      <c r="D44" s="97"/>
      <c r="E44" s="97"/>
      <c r="F44" s="97"/>
      <c r="G44" s="97"/>
      <c r="I44"/>
      <c r="J44"/>
    </row>
    <row r="45" spans="1:10" x14ac:dyDescent="0.3">
      <c r="A45"/>
      <c r="B45"/>
      <c r="C45"/>
      <c r="I45"/>
      <c r="J45"/>
    </row>
    <row r="46" spans="1:10" x14ac:dyDescent="0.3">
      <c r="A46"/>
      <c r="B46"/>
      <c r="C46"/>
      <c r="I46"/>
      <c r="J46"/>
    </row>
    <row r="47" spans="1:10" x14ac:dyDescent="0.3">
      <c r="A47"/>
      <c r="B47"/>
      <c r="C47"/>
      <c r="I47"/>
      <c r="J47"/>
    </row>
    <row r="48" spans="1:10" x14ac:dyDescent="0.3">
      <c r="A48"/>
      <c r="B48"/>
      <c r="C48"/>
      <c r="I48"/>
      <c r="J48"/>
    </row>
    <row r="49" spans="1:10" x14ac:dyDescent="0.3">
      <c r="A49"/>
      <c r="B49"/>
      <c r="C49"/>
      <c r="I49"/>
      <c r="J49"/>
    </row>
    <row r="50" spans="1:10" x14ac:dyDescent="0.3">
      <c r="A50"/>
      <c r="B50"/>
      <c r="C50"/>
      <c r="I50"/>
      <c r="J50"/>
    </row>
    <row r="51" spans="1:10" x14ac:dyDescent="0.3">
      <c r="A51"/>
      <c r="B51"/>
      <c r="C51"/>
      <c r="I51"/>
      <c r="J51"/>
    </row>
    <row r="52" spans="1:10" x14ac:dyDescent="0.3">
      <c r="A52"/>
      <c r="B52"/>
      <c r="C52"/>
      <c r="I52"/>
      <c r="J52"/>
    </row>
    <row r="53" spans="1:10" x14ac:dyDescent="0.3">
      <c r="A53"/>
      <c r="B53"/>
      <c r="C53"/>
    </row>
    <row r="54" spans="1:10" x14ac:dyDescent="0.3"/>
    <row r="55" spans="1:10" x14ac:dyDescent="0.3"/>
    <row r="56" spans="1:10" x14ac:dyDescent="0.3"/>
    <row r="57" spans="1:10" x14ac:dyDescent="0.3"/>
    <row r="58" spans="1:10" x14ac:dyDescent="0.3"/>
    <row r="59" spans="1:10" x14ac:dyDescent="0.3"/>
    <row r="60" spans="1:10" x14ac:dyDescent="0.3"/>
    <row r="61" spans="1:10" x14ac:dyDescent="0.3"/>
    <row r="62" spans="1:10" x14ac:dyDescent="0.3"/>
    <row r="63" spans="1:10" x14ac:dyDescent="0.3"/>
    <row r="64" spans="1:10" x14ac:dyDescent="0.3"/>
  </sheetData>
  <sheetProtection algorithmName="SHA-512" hashValue="mccGX0U+bXKAY6sIOggP6ikFCR7UCXTQaOjXCOppakpmdTCrKh2nMEoDjvYjpMNRJta0b9WiyHHrl8CtytJZKQ==" saltValue="Ihm8NZxPqcn+rs4YSZBRXg==" spinCount="100000" sheet="1" objects="1" scenarios="1"/>
  <mergeCells count="6">
    <mergeCell ref="B7:C7"/>
    <mergeCell ref="B2:C2"/>
    <mergeCell ref="B3:C3"/>
    <mergeCell ref="B4:C4"/>
    <mergeCell ref="B5:C5"/>
    <mergeCell ref="B6:C6"/>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pageSetUpPr fitToPage="1"/>
  </sheetPr>
  <dimension ref="A1:M761"/>
  <sheetViews>
    <sheetView showGridLines="0" tabSelected="1" zoomScaleNormal="100" workbookViewId="0">
      <selection activeCell="I14" sqref="I14"/>
    </sheetView>
  </sheetViews>
  <sheetFormatPr defaultColWidth="0" defaultRowHeight="14.4" zeroHeight="1" x14ac:dyDescent="0.3"/>
  <cols>
    <col min="1" max="1" width="42" style="1" customWidth="1"/>
    <col min="2" max="3" width="12.77734375" style="1" customWidth="1"/>
    <col min="4" max="5" width="21.77734375" style="1" customWidth="1"/>
    <col min="6" max="7" width="30.77734375" style="1" hidden="1" customWidth="1"/>
    <col min="8" max="8" width="16.77734375" style="1" customWidth="1"/>
    <col min="9" max="9" width="75.21875" style="1" customWidth="1"/>
    <col min="10" max="10" width="18.21875" style="1" hidden="1" customWidth="1"/>
    <col min="11" max="11" width="20.44140625" style="161" hidden="1" customWidth="1"/>
    <col min="12" max="12" width="24.21875" style="161" hidden="1" customWidth="1"/>
    <col min="13" max="13" width="13.44140625" style="161" hidden="1" customWidth="1"/>
    <col min="14" max="16384" width="5.77734375" hidden="1"/>
  </cols>
  <sheetData>
    <row r="1" spans="1:10" ht="93" customHeight="1" x14ac:dyDescent="0.3">
      <c r="A1" s="353" t="s">
        <v>851</v>
      </c>
      <c r="B1" s="353"/>
      <c r="C1" s="353"/>
      <c r="D1" s="353"/>
      <c r="E1" s="353"/>
      <c r="F1" s="353"/>
      <c r="G1" s="353"/>
      <c r="H1" s="353"/>
      <c r="I1" s="352" t="s">
        <v>838</v>
      </c>
      <c r="J1" s="2"/>
    </row>
    <row r="2" spans="1:10" ht="15" customHeight="1" x14ac:dyDescent="0.3">
      <c r="A2" s="3" t="s">
        <v>551</v>
      </c>
      <c r="B2" s="94"/>
      <c r="C2" s="375" t="s">
        <v>839</v>
      </c>
      <c r="D2" s="376"/>
      <c r="E2" s="366"/>
      <c r="F2" s="367"/>
      <c r="G2" s="367"/>
      <c r="H2" s="368"/>
      <c r="I2" s="352"/>
      <c r="J2" s="211"/>
    </row>
    <row r="3" spans="1:10" ht="16.95" customHeight="1" x14ac:dyDescent="0.3">
      <c r="A3" s="15" t="s">
        <v>0</v>
      </c>
      <c r="B3" s="360"/>
      <c r="C3" s="361"/>
      <c r="D3" s="361"/>
      <c r="E3" s="361"/>
      <c r="F3" s="361"/>
      <c r="G3" s="361"/>
      <c r="H3" s="362"/>
      <c r="I3" s="263" t="str">
        <f ca="1">IF(AND(Total_NWO_funding&gt;0,Project_title=""),checks!$B$27,"")</f>
        <v/>
      </c>
      <c r="J3" s="211"/>
    </row>
    <row r="4" spans="1:10" ht="13.95" customHeight="1" x14ac:dyDescent="0.3">
      <c r="A4" s="332" t="s">
        <v>854</v>
      </c>
      <c r="B4" s="333"/>
      <c r="C4" s="334"/>
      <c r="D4" s="334"/>
      <c r="E4" s="334"/>
      <c r="F4" s="334"/>
      <c r="G4" s="334"/>
      <c r="H4" s="335"/>
      <c r="I4" s="263"/>
      <c r="J4" s="211"/>
    </row>
    <row r="5" spans="1:10" ht="12.75" customHeight="1" x14ac:dyDescent="0.3">
      <c r="A5" s="4" t="s">
        <v>835</v>
      </c>
      <c r="B5" s="363"/>
      <c r="C5" s="364"/>
      <c r="D5" s="364"/>
      <c r="E5" s="364"/>
      <c r="F5" s="364"/>
      <c r="G5" s="364"/>
      <c r="H5" s="365"/>
      <c r="I5" s="263"/>
      <c r="J5" s="211"/>
    </row>
    <row r="6" spans="1:10" ht="5.0999999999999996" customHeight="1" x14ac:dyDescent="0.3">
      <c r="A6" s="357"/>
      <c r="B6" s="358"/>
      <c r="C6" s="359"/>
      <c r="D6" s="359"/>
      <c r="E6" s="359"/>
      <c r="F6" s="359"/>
      <c r="G6" s="5"/>
    </row>
    <row r="7" spans="1:10" ht="15.75" customHeight="1" x14ac:dyDescent="0.3">
      <c r="A7" s="184" t="s">
        <v>2</v>
      </c>
      <c r="B7" s="185"/>
      <c r="C7" s="185"/>
      <c r="D7" s="185"/>
      <c r="E7" s="185"/>
      <c r="F7" s="185"/>
      <c r="G7" s="186"/>
      <c r="H7" s="6" t="s">
        <v>3</v>
      </c>
      <c r="I7" s="18"/>
    </row>
    <row r="8" spans="1:10" ht="12.75" customHeight="1" x14ac:dyDescent="0.3">
      <c r="A8" s="168" t="s">
        <v>846</v>
      </c>
      <c r="B8" s="169"/>
      <c r="C8" s="169"/>
      <c r="D8" s="169"/>
      <c r="E8" s="169"/>
      <c r="F8" s="169"/>
      <c r="G8" s="170"/>
      <c r="H8" s="130" cm="1">
        <f t="array" aca="1" ref="H8" ca="1">Total_NWO_funding+Total_cofunding+Total_excess_costs</f>
        <v>0</v>
      </c>
      <c r="I8" s="215"/>
    </row>
    <row r="9" spans="1:10" ht="12.75" customHeight="1" x14ac:dyDescent="0.3">
      <c r="A9" s="168" t="s">
        <v>148</v>
      </c>
      <c r="B9" s="169"/>
      <c r="C9" s="169"/>
      <c r="D9" s="169"/>
      <c r="E9" s="169"/>
      <c r="F9" s="169"/>
      <c r="G9" s="170"/>
      <c r="H9" s="130" cm="1">
        <f t="array" aca="1" ref="H9" ca="1">Total_personnel_costs+Total_material_costs+Total_investments+Total_Knowledge_utilisation-Total_cofunding_incash-Total_excess_costs</f>
        <v>0</v>
      </c>
      <c r="I9" s="215" t="str">
        <f ca="1">IF(Total_NWO_funding&gt;Max_NWO_funding,checks!$B$35,IF(AND(Total_NWO_funding&lt;Min_NWO_funding,Total_NWO_funding&lt;&gt;0),checks!$B$34,""))</f>
        <v/>
      </c>
      <c r="J9" s="9"/>
    </row>
    <row r="10" spans="1:10" ht="12.75" customHeight="1" x14ac:dyDescent="0.3">
      <c r="A10" s="168" t="s">
        <v>847</v>
      </c>
      <c r="B10" s="169"/>
      <c r="C10" s="169"/>
      <c r="D10" s="169"/>
      <c r="E10" s="169"/>
      <c r="F10" s="169"/>
      <c r="G10" s="170"/>
      <c r="H10" s="130" cm="1">
        <f t="array" ref="H10">Total_excess_costs</f>
        <v>0</v>
      </c>
      <c r="I10" s="215"/>
      <c r="J10" s="9"/>
    </row>
    <row r="11" spans="1:10" ht="12.75" customHeight="1" x14ac:dyDescent="0.3">
      <c r="A11" s="171" t="s">
        <v>184</v>
      </c>
      <c r="B11" s="172"/>
      <c r="C11" s="172"/>
      <c r="D11" s="172"/>
      <c r="E11" s="172"/>
      <c r="F11" s="172"/>
      <c r="G11" s="173"/>
      <c r="H11" s="130" cm="1">
        <f t="array" ref="H11">Total_cofunding_inkind</f>
        <v>0</v>
      </c>
      <c r="I11" s="215"/>
      <c r="J11" s="9"/>
    </row>
    <row r="12" spans="1:10" ht="12.75" customHeight="1" x14ac:dyDescent="0.3">
      <c r="A12" s="171" t="s">
        <v>183</v>
      </c>
      <c r="B12" s="172"/>
      <c r="C12" s="172"/>
      <c r="D12" s="172"/>
      <c r="E12" s="172"/>
      <c r="F12" s="172"/>
      <c r="G12" s="173"/>
      <c r="H12" s="130" cm="1">
        <f t="array" ref="H12">Total_cofunding_incash</f>
        <v>0</v>
      </c>
      <c r="I12" s="215"/>
      <c r="J12" s="9"/>
    </row>
    <row r="13" spans="1:10" ht="12.75" hidden="1" customHeight="1" x14ac:dyDescent="0.3">
      <c r="A13" s="171" t="s">
        <v>150</v>
      </c>
      <c r="B13" s="172"/>
      <c r="C13" s="172"/>
      <c r="D13" s="172"/>
      <c r="E13" s="172"/>
      <c r="F13" s="172"/>
      <c r="G13" s="173"/>
      <c r="H13" s="131" t="str" cm="1">
        <f t="array" aca="1" ref="H13" ca="1">IFERROR(Total_cofunding_incash/Total_project_budget,"-")</f>
        <v>-</v>
      </c>
      <c r="I13" s="215" t="str">
        <f ca="1">IF(AND(Total_project_budget&gt;0,Total_cofunding_incash&lt;cash_cofunding_minperc*Total_project_budget),checks!$B$97,"")</f>
        <v/>
      </c>
      <c r="J13" s="9"/>
    </row>
    <row r="14" spans="1:10" ht="12.75" customHeight="1" x14ac:dyDescent="0.3">
      <c r="A14" s="171" t="s">
        <v>4</v>
      </c>
      <c r="B14" s="172"/>
      <c r="C14" s="172"/>
      <c r="D14" s="172"/>
      <c r="E14" s="172"/>
      <c r="F14" s="172"/>
      <c r="G14" s="173"/>
      <c r="H14" s="130">
        <f>Total_cofunding</f>
        <v>0</v>
      </c>
      <c r="I14" s="215"/>
      <c r="J14" s="9"/>
    </row>
    <row r="15" spans="1:10" ht="12.75" customHeight="1" x14ac:dyDescent="0.3">
      <c r="A15" s="171" t="s">
        <v>30</v>
      </c>
      <c r="B15" s="172"/>
      <c r="C15" s="172"/>
      <c r="D15" s="172"/>
      <c r="E15" s="172"/>
      <c r="F15" s="172"/>
      <c r="G15" s="173"/>
      <c r="H15" s="95" t="str">
        <f ca="1">IFERROR(Total_cofunding/Total_project_budget,"-")</f>
        <v>-</v>
      </c>
      <c r="I15" s="215" t="str">
        <f ca="1">IF(cofunding_perc="-","",IF(AND(cofunding_perc&lt;cofunding_min_perc,cofunding_threshold=0),checks!$B$99,IF(AND(cofunding_threshold&gt;0,cofunding_perc&lt;cofunding_min_perc*(Total_project_budget-cofunding_threshold)),checks!$B$98,IF(cofunding_perc&gt;cofunding_max_perc,checks!$B$101,""))))</f>
        <v/>
      </c>
      <c r="J15" s="9"/>
    </row>
    <row r="16" spans="1:10" x14ac:dyDescent="0.3">
      <c r="A16" s="357"/>
      <c r="B16" s="358"/>
      <c r="C16" s="358"/>
      <c r="D16" s="358"/>
      <c r="E16" s="358"/>
      <c r="F16" s="358"/>
      <c r="G16" s="187"/>
      <c r="H16" s="9"/>
      <c r="I16" s="304"/>
      <c r="J16" s="9"/>
    </row>
    <row r="17" spans="1:13" ht="15.6" x14ac:dyDescent="0.3">
      <c r="A17" s="372" t="s">
        <v>869</v>
      </c>
      <c r="B17" s="373"/>
      <c r="C17" s="373"/>
      <c r="D17" s="373"/>
      <c r="E17" s="373"/>
      <c r="F17" s="373"/>
      <c r="G17" s="373"/>
      <c r="H17" s="374"/>
      <c r="I17" s="304"/>
      <c r="J17" s="9"/>
    </row>
    <row r="18" spans="1:13" ht="28.95" customHeight="1" x14ac:dyDescent="0.3">
      <c r="A18" s="380" t="s">
        <v>870</v>
      </c>
      <c r="B18" s="381"/>
      <c r="C18" s="381"/>
      <c r="D18" s="381"/>
      <c r="E18" s="381"/>
      <c r="F18" s="338"/>
      <c r="G18" s="187"/>
      <c r="H18" s="343" t="s">
        <v>871</v>
      </c>
      <c r="I18" s="304"/>
      <c r="J18" s="9"/>
    </row>
    <row r="19" spans="1:13" ht="14.55" customHeight="1" x14ac:dyDescent="0.3">
      <c r="A19" s="342" t="s">
        <v>872</v>
      </c>
      <c r="B19" s="377"/>
      <c r="C19" s="378"/>
      <c r="D19" s="378"/>
      <c r="E19" s="378"/>
      <c r="F19" s="378"/>
      <c r="G19" s="378"/>
      <c r="H19" s="379"/>
      <c r="I19" s="304"/>
      <c r="J19" s="9"/>
    </row>
    <row r="20" spans="1:13" x14ac:dyDescent="0.3">
      <c r="A20" s="336"/>
      <c r="B20" s="337"/>
      <c r="C20" s="337"/>
      <c r="D20" s="337"/>
      <c r="E20" s="337"/>
      <c r="F20" s="337"/>
      <c r="G20" s="236"/>
      <c r="H20" s="9"/>
      <c r="I20" s="304"/>
      <c r="J20" s="9"/>
    </row>
    <row r="21" spans="1:13" ht="15.6" x14ac:dyDescent="0.3">
      <c r="A21" s="369" t="s">
        <v>5</v>
      </c>
      <c r="B21" s="370"/>
      <c r="C21" s="370"/>
      <c r="D21" s="370"/>
      <c r="E21" s="370"/>
      <c r="F21" s="370"/>
      <c r="G21" s="370"/>
      <c r="H21" s="371"/>
      <c r="J21" s="291"/>
      <c r="K21" s="292"/>
      <c r="L21" s="292"/>
      <c r="M21" s="293"/>
    </row>
    <row r="22" spans="1:13" ht="12.75" customHeight="1" x14ac:dyDescent="0.3">
      <c r="A22" s="168" t="s">
        <v>35</v>
      </c>
      <c r="B22" s="169"/>
      <c r="C22" s="169"/>
      <c r="D22" s="169"/>
      <c r="E22" s="169"/>
      <c r="F22" s="169"/>
      <c r="G22" s="169"/>
      <c r="H22" s="170"/>
      <c r="I22" s="8"/>
      <c r="J22" s="168"/>
      <c r="K22" s="169"/>
      <c r="L22" s="169"/>
      <c r="M22" s="170"/>
    </row>
    <row r="23" spans="1:13" ht="15.45" customHeight="1" x14ac:dyDescent="0.3">
      <c r="A23" s="25" t="s">
        <v>32</v>
      </c>
      <c r="B23" s="25" t="s">
        <v>848</v>
      </c>
      <c r="C23" s="26" t="s">
        <v>33</v>
      </c>
      <c r="D23" s="26" t="s">
        <v>34</v>
      </c>
      <c r="E23" s="26" t="s">
        <v>50</v>
      </c>
      <c r="F23" s="30" t="s">
        <v>40</v>
      </c>
      <c r="G23" s="30" t="s">
        <v>621</v>
      </c>
      <c r="H23" s="26" t="s">
        <v>10</v>
      </c>
      <c r="I23" s="10" t="s">
        <v>674</v>
      </c>
      <c r="J23" s="305" t="s">
        <v>821</v>
      </c>
      <c r="K23" s="306" t="s">
        <v>822</v>
      </c>
      <c r="L23" s="306" t="s">
        <v>823</v>
      </c>
      <c r="M23" s="307" t="s">
        <v>824</v>
      </c>
    </row>
    <row r="24" spans="1:13" ht="11.25" customHeight="1" x14ac:dyDescent="0.3">
      <c r="A24" s="23"/>
      <c r="B24" s="325"/>
      <c r="C24" s="46"/>
      <c r="D24" s="48"/>
      <c r="E24" s="81"/>
      <c r="F24" s="188"/>
      <c r="G24" s="203"/>
      <c r="H24" s="27"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4" s="18" t="str">
        <f ca="1">checks!B117</f>
        <v/>
      </c>
      <c r="J24" s="275"/>
      <c r="K24" s="276"/>
      <c r="L24" s="276"/>
      <c r="M24" s="277"/>
    </row>
    <row r="25" spans="1:13" ht="11.25" customHeight="1" x14ac:dyDescent="0.3">
      <c r="A25" s="24"/>
      <c r="B25" s="326"/>
      <c r="C25" s="47"/>
      <c r="D25" s="49"/>
      <c r="E25" s="82"/>
      <c r="F25" s="189"/>
      <c r="G25" s="57"/>
      <c r="H25"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5" s="18" t="str">
        <f ca="1">checks!B118</f>
        <v/>
      </c>
      <c r="J25" s="275"/>
      <c r="K25" s="276"/>
      <c r="L25" s="276"/>
      <c r="M25" s="277"/>
    </row>
    <row r="26" spans="1:13" ht="11.25" customHeight="1" x14ac:dyDescent="0.3">
      <c r="A26" s="24"/>
      <c r="B26" s="326"/>
      <c r="C26" s="47"/>
      <c r="D26" s="49"/>
      <c r="E26" s="82"/>
      <c r="F26" s="189"/>
      <c r="G26" s="57"/>
      <c r="H26"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6" s="18" t="str">
        <f ca="1">checks!B119</f>
        <v/>
      </c>
      <c r="J26" s="275"/>
      <c r="K26" s="276"/>
      <c r="L26" s="276"/>
      <c r="M26" s="277"/>
    </row>
    <row r="27" spans="1:13" ht="11.25" customHeight="1" x14ac:dyDescent="0.3">
      <c r="A27" s="24"/>
      <c r="B27" s="326"/>
      <c r="C27" s="47"/>
      <c r="D27" s="49"/>
      <c r="E27" s="82"/>
      <c r="F27" s="189"/>
      <c r="G27" s="57"/>
      <c r="H27"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7" s="18" t="str">
        <f ca="1">checks!B120</f>
        <v/>
      </c>
      <c r="J27" s="275"/>
      <c r="K27" s="276"/>
      <c r="L27" s="276"/>
      <c r="M27" s="277"/>
    </row>
    <row r="28" spans="1:13" ht="11.25" customHeight="1" x14ac:dyDescent="0.3">
      <c r="A28" s="24"/>
      <c r="B28" s="326"/>
      <c r="C28" s="47"/>
      <c r="D28" s="49"/>
      <c r="E28" s="82"/>
      <c r="F28" s="189"/>
      <c r="G28" s="57"/>
      <c r="H28"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8" s="18" t="str">
        <f ca="1">checks!B121</f>
        <v/>
      </c>
      <c r="J28" s="275"/>
      <c r="K28" s="276"/>
      <c r="L28" s="276"/>
      <c r="M28" s="277"/>
    </row>
    <row r="29" spans="1:13" ht="11.25" customHeight="1" x14ac:dyDescent="0.3">
      <c r="A29" s="24"/>
      <c r="B29" s="326"/>
      <c r="C29" s="47"/>
      <c r="D29" s="49"/>
      <c r="E29" s="82"/>
      <c r="F29" s="189"/>
      <c r="G29" s="57"/>
      <c r="H29"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29" s="18" t="str">
        <f ca="1">checks!B122</f>
        <v/>
      </c>
      <c r="J29" s="275"/>
      <c r="K29" s="276"/>
      <c r="L29" s="276"/>
      <c r="M29" s="277"/>
    </row>
    <row r="30" spans="1:13" ht="11.25" customHeight="1" x14ac:dyDescent="0.3">
      <c r="A30" s="24"/>
      <c r="B30" s="326"/>
      <c r="C30" s="47"/>
      <c r="D30" s="49"/>
      <c r="E30" s="82"/>
      <c r="F30" s="189"/>
      <c r="G30" s="57"/>
      <c r="H30"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30" s="18" t="str">
        <f ca="1">checks!B123</f>
        <v/>
      </c>
      <c r="J30" s="275"/>
      <c r="K30" s="276"/>
      <c r="L30" s="276"/>
      <c r="M30" s="277"/>
    </row>
    <row r="31" spans="1:13" ht="11.25" customHeight="1" x14ac:dyDescent="0.3">
      <c r="A31" s="24"/>
      <c r="B31" s="326"/>
      <c r="C31" s="47"/>
      <c r="D31" s="49"/>
      <c r="E31" s="82"/>
      <c r="F31" s="189"/>
      <c r="G31" s="57"/>
      <c r="H31"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31" s="18" t="str">
        <f ca="1">checks!B124</f>
        <v/>
      </c>
      <c r="J31" s="275"/>
      <c r="K31" s="276"/>
      <c r="L31" s="276"/>
      <c r="M31" s="277"/>
    </row>
    <row r="32" spans="1:13" ht="11.25" customHeight="1" x14ac:dyDescent="0.3">
      <c r="A32" s="24"/>
      <c r="B32" s="326"/>
      <c r="C32" s="47"/>
      <c r="D32" s="49"/>
      <c r="E32" s="82"/>
      <c r="F32" s="189"/>
      <c r="G32" s="57"/>
      <c r="H32"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32" s="18" t="str">
        <f ca="1">checks!B125</f>
        <v/>
      </c>
      <c r="J32" s="275"/>
      <c r="K32" s="276"/>
      <c r="L32" s="276"/>
      <c r="M32" s="277"/>
    </row>
    <row r="33" spans="1:13" ht="11.25" customHeight="1" x14ac:dyDescent="0.3">
      <c r="A33" s="24"/>
      <c r="B33" s="326"/>
      <c r="C33" s="47"/>
      <c r="D33" s="49"/>
      <c r="E33" s="82"/>
      <c r="F33" s="189"/>
      <c r="G33" s="57"/>
      <c r="H33" s="28" t="str">
        <f>IFERROR(IF(_xlfn.IFNA(HLOOKUP(TEXT(Personnel[[#This Row],[Months]],"@"),salaries_academic[#All],MATCH(Personnel[[#This Row],[Category]],salaries_academic[category],0)+1,FALSE),0)&gt;0,HLOOKUP(TEXT(Personnel[[#This Row],[Months]],"@"),salaries_academic[#All],MATCH(Personnel[[#This Row],[Category]],salaries_academic[category],0)+1,FALSE)*Personnel[[#This Row],[FTE]]*IF(ISBLANK(Personnel[[#This Row],[Kolom1]]),1,INDEX(CCC_table[CC],MATCH(Personnel[[#This Row],[Kolom1]],CCC_table[Code and Country],0),1)),IF(Personnel[[#This Row],[Costs]]&gt;0,Personnel[[#This Row],[Costs]],"")),"")</f>
        <v/>
      </c>
      <c r="I33" s="18" t="str">
        <f ca="1">checks!B126</f>
        <v/>
      </c>
      <c r="J33" s="275"/>
      <c r="K33" s="276"/>
      <c r="L33" s="276"/>
      <c r="M33" s="277"/>
    </row>
    <row r="34" spans="1:13" ht="11.25" customHeight="1" x14ac:dyDescent="0.3">
      <c r="A34" s="63"/>
      <c r="B34" s="63"/>
      <c r="C34" s="64"/>
      <c r="D34" s="64"/>
      <c r="E34" s="220" t="s">
        <v>7</v>
      </c>
      <c r="F34" s="219"/>
      <c r="G34" s="220"/>
      <c r="H34" s="7">
        <f>SUM(Personnel[Amount])</f>
        <v>0</v>
      </c>
      <c r="I34" s="215"/>
      <c r="J34" s="299">
        <f>SUM(J24:J33)</f>
        <v>0</v>
      </c>
      <c r="K34" s="279"/>
      <c r="L34" s="279"/>
      <c r="M34" s="280"/>
    </row>
    <row r="35" spans="1:13" ht="11.25" customHeight="1" x14ac:dyDescent="0.3">
      <c r="A35" s="63"/>
      <c r="B35" s="63"/>
      <c r="C35" s="64"/>
      <c r="D35" s="64"/>
      <c r="E35" s="64"/>
      <c r="F35" s="219"/>
      <c r="G35" s="270"/>
      <c r="H35" s="271"/>
      <c r="I35" s="86" t="str">
        <f>SUBSTITUTE(IFERROR(IF(benchfee[[#This Row],['# Benchfee]]&gt;benchfee[[#This Row],[FTE]],checks!$B$57,IF(AND(benchfee[[#This Row],['# Benchfee]]&gt;0,benchfee[[#This Row],[Category]]=""),checks!$B$58,"")),""),0,"")</f>
        <v/>
      </c>
      <c r="J35" s="287"/>
      <c r="K35" s="301"/>
      <c r="L35" s="301"/>
      <c r="M35" s="300"/>
    </row>
    <row r="36" spans="1:13" ht="11.25" hidden="1" customHeight="1" x14ac:dyDescent="0.3">
      <c r="A36" s="168" t="s">
        <v>31</v>
      </c>
      <c r="B36" s="169"/>
      <c r="C36" s="169"/>
      <c r="D36" s="169"/>
      <c r="E36" s="169"/>
      <c r="F36" s="169"/>
      <c r="G36" s="169"/>
      <c r="H36" s="170"/>
      <c r="I36" s="86" t="str">
        <f>SUBSTITUTE(IFERROR(IF(benchfee[[#This Row],['# Benchfee]]&gt;benchfee[[#This Row],[FTE]],checks!$B$57,IF(AND(benchfee[[#This Row],['# Benchfee]]&gt;0,benchfee[[#This Row],[Category]]=""),checks!$B$58,"")),""),0,"")</f>
        <v/>
      </c>
      <c r="J36" s="168"/>
      <c r="K36" s="169"/>
      <c r="L36" s="169"/>
      <c r="M36" s="170"/>
    </row>
    <row r="37" spans="1:13" ht="11.25" hidden="1" customHeight="1" x14ac:dyDescent="0.3">
      <c r="A37" s="29" t="s">
        <v>32</v>
      </c>
      <c r="B37" s="19" t="s">
        <v>33</v>
      </c>
      <c r="C37" s="19" t="s">
        <v>34</v>
      </c>
      <c r="D37" s="19" t="s">
        <v>152</v>
      </c>
      <c r="E37" s="19" t="s">
        <v>623</v>
      </c>
      <c r="F37" s="13" t="s">
        <v>40</v>
      </c>
      <c r="G37" s="26" t="s">
        <v>621</v>
      </c>
      <c r="H37" s="19" t="s">
        <v>10</v>
      </c>
      <c r="I37" s="86" t="str">
        <f>SUBSTITUTE(IFERROR(IF(benchfee[[#This Row],['# Benchfee]]&gt;benchfee[[#This Row],[FTE]],checks!$B$57,IF(AND(benchfee[[#This Row],['# Benchfee]]&gt;0,benchfee[[#This Row],[Category]]=""),checks!$B$58,"")),""),0,"")</f>
        <v/>
      </c>
      <c r="J37" s="287"/>
      <c r="K37" s="301"/>
      <c r="L37" s="301"/>
      <c r="M37" s="300"/>
    </row>
    <row r="38" spans="1:13" ht="11.25" hidden="1" customHeight="1" x14ac:dyDescent="0.3">
      <c r="A38" s="70" t="str">
        <f ca="1">checks!I11</f>
        <v/>
      </c>
      <c r="B38" s="67" t="str">
        <f ca="1">checks!J11</f>
        <v/>
      </c>
      <c r="C38" s="37" t="str">
        <f ca="1">checks!K11</f>
        <v/>
      </c>
      <c r="D38" s="65"/>
      <c r="E38" s="177">
        <f t="shared" ref="E38:E47" si="0">benchfee_amount</f>
        <v>0</v>
      </c>
      <c r="F38" s="190" t="str">
        <f ca="1">checks!L11</f>
        <v/>
      </c>
      <c r="G38" s="107" t="str">
        <f ca="1">checks!M11</f>
        <v/>
      </c>
      <c r="H38" s="27" t="str">
        <f ca="1">IF(LEN(benchfee[[#This Row],[Category]])&gt;0,benchfee[[#This Row],['# Benchfee]]*benchfee_amount,"")</f>
        <v/>
      </c>
      <c r="I38" s="86" t="str">
        <f ca="1">SUBSTITUTE(IFERROR(IF(benchfee[[#This Row],['# Benchfee]]&gt;benchfee[[#This Row],[FTE]],checks!$B$57,IF(AND(benchfee[[#This Row],['# Benchfee]]&gt;0,benchfee[[#This Row],[Category]]=""),checks!$B$58,"")),""),0,"")</f>
        <v/>
      </c>
      <c r="J38" s="281"/>
      <c r="K38" s="282"/>
      <c r="L38" s="282"/>
      <c r="M38" s="283"/>
    </row>
    <row r="39" spans="1:13" ht="11.25" hidden="1" customHeight="1" x14ac:dyDescent="0.3">
      <c r="A39" s="70" t="str">
        <f ca="1">checks!I12</f>
        <v/>
      </c>
      <c r="B39" s="68" t="str">
        <f ca="1">checks!J12</f>
        <v/>
      </c>
      <c r="C39" s="38" t="str">
        <f ca="1">checks!K12</f>
        <v/>
      </c>
      <c r="D39" s="66"/>
      <c r="E39" s="178">
        <f t="shared" si="0"/>
        <v>0</v>
      </c>
      <c r="F39" s="191" t="str">
        <f ca="1">checks!L12</f>
        <v/>
      </c>
      <c r="G39" s="108" t="str">
        <f ca="1">checks!M12</f>
        <v/>
      </c>
      <c r="H39" s="28" t="str">
        <f ca="1">IF(LEN(benchfee[[#This Row],[Category]])&gt;0,benchfee[[#This Row],['# Benchfee]]*benchfee_amount,"")</f>
        <v/>
      </c>
      <c r="I39" s="86" t="str">
        <f ca="1">SUBSTITUTE(IFERROR(IF(benchfee[[#This Row],['# Benchfee]]&gt;benchfee[[#This Row],[FTE]],checks!$B$57,IF(AND(benchfee[[#This Row],['# Benchfee]]&gt;0,benchfee[[#This Row],[Category]]=""),checks!$B$58,"")),""),0,"")</f>
        <v/>
      </c>
      <c r="J39" s="284"/>
      <c r="K39" s="285"/>
      <c r="L39" s="285"/>
      <c r="M39" s="286"/>
    </row>
    <row r="40" spans="1:13" ht="11.25" hidden="1" customHeight="1" x14ac:dyDescent="0.3">
      <c r="A40" s="70" t="str">
        <f ca="1">checks!I13</f>
        <v/>
      </c>
      <c r="B40" s="68" t="str">
        <f ca="1">checks!J13</f>
        <v/>
      </c>
      <c r="C40" s="38" t="str">
        <f ca="1">checks!K13</f>
        <v/>
      </c>
      <c r="D40" s="66"/>
      <c r="E40" s="178">
        <f t="shared" si="0"/>
        <v>0</v>
      </c>
      <c r="F40" s="191" t="str">
        <f ca="1">checks!L13</f>
        <v/>
      </c>
      <c r="G40" s="108" t="str">
        <f ca="1">checks!M13</f>
        <v/>
      </c>
      <c r="H40" s="28" t="str">
        <f ca="1">IF(LEN(benchfee[[#This Row],[Category]])&gt;0,benchfee[[#This Row],['# Benchfee]]*benchfee_amount,"")</f>
        <v/>
      </c>
      <c r="I40" s="86" t="str">
        <f ca="1">SUBSTITUTE(IFERROR(IF(benchfee[[#This Row],['# Benchfee]]&gt;benchfee[[#This Row],[FTE]],checks!$B$57,IF(AND(benchfee[[#This Row],['# Benchfee]]&gt;0,benchfee[[#This Row],[Category]]=""),checks!$B$58,"")),""),0,"")</f>
        <v/>
      </c>
      <c r="J40" s="284"/>
      <c r="K40" s="285"/>
      <c r="L40" s="285"/>
      <c r="M40" s="286"/>
    </row>
    <row r="41" spans="1:13" ht="11.25" hidden="1" customHeight="1" x14ac:dyDescent="0.3">
      <c r="A41" s="70" t="str">
        <f ca="1">checks!I14</f>
        <v/>
      </c>
      <c r="B41" s="68" t="str">
        <f ca="1">checks!J14</f>
        <v/>
      </c>
      <c r="C41" s="38" t="str">
        <f ca="1">checks!K14</f>
        <v/>
      </c>
      <c r="D41" s="66"/>
      <c r="E41" s="178">
        <f t="shared" si="0"/>
        <v>0</v>
      </c>
      <c r="F41" s="191" t="str">
        <f ca="1">checks!L14</f>
        <v/>
      </c>
      <c r="G41" s="108" t="str">
        <f ca="1">checks!M14</f>
        <v/>
      </c>
      <c r="H41" s="28" t="str">
        <f ca="1">IF(LEN(benchfee[[#This Row],[Category]])&gt;0,benchfee[[#This Row],['# Benchfee]]*benchfee_amount,"")</f>
        <v/>
      </c>
      <c r="I41" s="86" t="str">
        <f ca="1">SUBSTITUTE(IFERROR(IF(benchfee[[#This Row],['# Benchfee]]&gt;benchfee[[#This Row],[FTE]],checks!$B$57,IF(AND(benchfee[[#This Row],['# Benchfee]]&gt;0,benchfee[[#This Row],[Category]]=""),checks!$B$58,"")),""),0,"")</f>
        <v/>
      </c>
      <c r="J41" s="284"/>
      <c r="K41" s="285"/>
      <c r="L41" s="285"/>
      <c r="M41" s="286"/>
    </row>
    <row r="42" spans="1:13" ht="11.25" hidden="1" customHeight="1" x14ac:dyDescent="0.3">
      <c r="A42" s="70" t="str">
        <f ca="1">checks!I15</f>
        <v/>
      </c>
      <c r="B42" s="68" t="str">
        <f ca="1">checks!J15</f>
        <v/>
      </c>
      <c r="C42" s="38" t="str">
        <f ca="1">checks!K15</f>
        <v/>
      </c>
      <c r="D42" s="66"/>
      <c r="E42" s="178">
        <f t="shared" si="0"/>
        <v>0</v>
      </c>
      <c r="F42" s="191" t="str">
        <f ca="1">checks!L15</f>
        <v/>
      </c>
      <c r="G42" s="108" t="str">
        <f ca="1">checks!M15</f>
        <v/>
      </c>
      <c r="H42" s="28" t="str">
        <f ca="1">IF(LEN(benchfee[[#This Row],[Category]])&gt;0,benchfee[[#This Row],['# Benchfee]]*benchfee_amount,"")</f>
        <v/>
      </c>
      <c r="I42" s="86" t="str">
        <f ca="1">SUBSTITUTE(IFERROR(IF(benchfee[[#This Row],['# Benchfee]]&gt;benchfee[[#This Row],[FTE]],checks!$B$57,IF(AND(benchfee[[#This Row],['# Benchfee]]&gt;0,benchfee[[#This Row],[Category]]=""),checks!$B$58,"")),""),0,"")</f>
        <v/>
      </c>
      <c r="J42" s="284"/>
      <c r="K42" s="285"/>
      <c r="L42" s="285"/>
      <c r="M42" s="286"/>
    </row>
    <row r="43" spans="1:13" ht="11.25" hidden="1" customHeight="1" x14ac:dyDescent="0.3">
      <c r="A43" s="70" t="str">
        <f ca="1">checks!I16</f>
        <v/>
      </c>
      <c r="B43" s="68" t="str">
        <f ca="1">checks!J16</f>
        <v/>
      </c>
      <c r="C43" s="38" t="str">
        <f ca="1">checks!K16</f>
        <v/>
      </c>
      <c r="D43" s="66"/>
      <c r="E43" s="178">
        <f t="shared" si="0"/>
        <v>0</v>
      </c>
      <c r="F43" s="191" t="str">
        <f ca="1">checks!L16</f>
        <v/>
      </c>
      <c r="G43" s="108" t="str">
        <f ca="1">checks!M16</f>
        <v/>
      </c>
      <c r="H43" s="28" t="str">
        <f ca="1">IF(LEN(benchfee[[#This Row],[Category]])&gt;0,benchfee[[#This Row],['# Benchfee]]*benchfee_amount,"")</f>
        <v/>
      </c>
      <c r="I43" s="86" t="str">
        <f ca="1">SUBSTITUTE(IFERROR(IF(benchfee[[#This Row],['# Benchfee]]&gt;benchfee[[#This Row],[FTE]],checks!$B$57,IF(AND(benchfee[[#This Row],['# Benchfee]]&gt;0,benchfee[[#This Row],[Category]]=""),checks!$B$58,"")),""),0,"")</f>
        <v/>
      </c>
      <c r="J43" s="284"/>
      <c r="K43" s="285"/>
      <c r="L43" s="285"/>
      <c r="M43" s="286"/>
    </row>
    <row r="44" spans="1:13" ht="11.25" hidden="1" customHeight="1" x14ac:dyDescent="0.3">
      <c r="A44" s="70" t="str">
        <f ca="1">checks!I17</f>
        <v/>
      </c>
      <c r="B44" s="68" t="str">
        <f ca="1">checks!J17</f>
        <v/>
      </c>
      <c r="C44" s="38" t="str">
        <f ca="1">checks!K17</f>
        <v/>
      </c>
      <c r="D44" s="66"/>
      <c r="E44" s="178">
        <f t="shared" si="0"/>
        <v>0</v>
      </c>
      <c r="F44" s="191" t="str">
        <f ca="1">checks!L17</f>
        <v/>
      </c>
      <c r="G44" s="108" t="str">
        <f ca="1">checks!M17</f>
        <v/>
      </c>
      <c r="H44" s="28" t="str">
        <f ca="1">IF(LEN(benchfee[[#This Row],[Category]])&gt;0,benchfee[[#This Row],['# Benchfee]]*benchfee_amount,"")</f>
        <v/>
      </c>
      <c r="I44" s="86" t="str">
        <f ca="1">SUBSTITUTE(IFERROR(IF(benchfee[[#This Row],['# Benchfee]]&gt;benchfee[[#This Row],[FTE]],checks!$B$57,IF(AND(benchfee[[#This Row],['# Benchfee]]&gt;0,benchfee[[#This Row],[Category]]=""),checks!$B$58,"")),""),0,"")</f>
        <v/>
      </c>
      <c r="J44" s="284"/>
      <c r="K44" s="285"/>
      <c r="L44" s="285"/>
      <c r="M44" s="286"/>
    </row>
    <row r="45" spans="1:13" ht="11.25" hidden="1" customHeight="1" x14ac:dyDescent="0.3">
      <c r="A45" s="70" t="str">
        <f ca="1">checks!I18</f>
        <v/>
      </c>
      <c r="B45" s="68" t="str">
        <f ca="1">checks!J18</f>
        <v/>
      </c>
      <c r="C45" s="38" t="str">
        <f ca="1">checks!K18</f>
        <v/>
      </c>
      <c r="D45" s="66"/>
      <c r="E45" s="178">
        <f t="shared" si="0"/>
        <v>0</v>
      </c>
      <c r="F45" s="191" t="str">
        <f ca="1">checks!L18</f>
        <v/>
      </c>
      <c r="G45" s="108" t="str">
        <f ca="1">checks!M18</f>
        <v/>
      </c>
      <c r="H45" s="28" t="str">
        <f ca="1">IF(LEN(benchfee[[#This Row],[Category]])&gt;0,benchfee[[#This Row],['# Benchfee]]*benchfee_amount,"")</f>
        <v/>
      </c>
      <c r="I45" s="86" t="str">
        <f ca="1">SUBSTITUTE(IFERROR(IF(benchfee[[#This Row],['# Benchfee]]&gt;benchfee[[#This Row],[FTE]],checks!$B$57,IF(AND(benchfee[[#This Row],['# Benchfee]]&gt;0,benchfee[[#This Row],[Category]]=""),checks!$B$58,"")),""),0,"")</f>
        <v/>
      </c>
      <c r="J45" s="284"/>
      <c r="K45" s="285"/>
      <c r="L45" s="285"/>
      <c r="M45" s="286"/>
    </row>
    <row r="46" spans="1:13" ht="11.25" hidden="1" customHeight="1" x14ac:dyDescent="0.3">
      <c r="A46" s="70" t="str">
        <f ca="1">checks!I19</f>
        <v/>
      </c>
      <c r="B46" s="68" t="str">
        <f ca="1">checks!J19</f>
        <v/>
      </c>
      <c r="C46" s="38" t="str">
        <f ca="1">checks!K19</f>
        <v/>
      </c>
      <c r="D46" s="66"/>
      <c r="E46" s="178">
        <f t="shared" si="0"/>
        <v>0</v>
      </c>
      <c r="F46" s="191" t="str">
        <f ca="1">checks!L19</f>
        <v/>
      </c>
      <c r="G46" s="108" t="str">
        <f ca="1">checks!M19</f>
        <v/>
      </c>
      <c r="H46" s="28" t="str">
        <f ca="1">IF(LEN(benchfee[[#This Row],[Category]])&gt;0,benchfee[[#This Row],['# Benchfee]]*benchfee_amount,"")</f>
        <v/>
      </c>
      <c r="I46" s="86" t="str">
        <f ca="1">SUBSTITUTE(IFERROR(IF(benchfee[[#This Row],['# Benchfee]]&gt;benchfee[[#This Row],[FTE]],checks!$B$57,IF(AND(benchfee[[#This Row],['# Benchfee]]&gt;0,benchfee[[#This Row],[Category]]=""),checks!$B$58,"")),""),0,"")</f>
        <v/>
      </c>
      <c r="J46" s="284"/>
      <c r="K46" s="285"/>
      <c r="L46" s="285"/>
      <c r="M46" s="286"/>
    </row>
    <row r="47" spans="1:13" ht="11.25" hidden="1" customHeight="1" x14ac:dyDescent="0.3">
      <c r="A47" s="70" t="str">
        <f ca="1">checks!I20</f>
        <v/>
      </c>
      <c r="B47" s="68" t="str">
        <f ca="1">checks!J20</f>
        <v/>
      </c>
      <c r="C47" s="38" t="str">
        <f ca="1">checks!K20</f>
        <v/>
      </c>
      <c r="D47" s="66"/>
      <c r="E47" s="178">
        <f t="shared" si="0"/>
        <v>0</v>
      </c>
      <c r="F47" s="191" t="str">
        <f ca="1">checks!L20</f>
        <v/>
      </c>
      <c r="G47" s="108" t="str">
        <f ca="1">checks!M20</f>
        <v/>
      </c>
      <c r="H47" s="28" t="str">
        <f ca="1">IF(LEN(benchfee[[#This Row],[Category]])&gt;0,benchfee[[#This Row],['# Benchfee]]*benchfee_amount,"")</f>
        <v/>
      </c>
      <c r="I47" s="86" t="str">
        <f ca="1">SUBSTITUTE(IFERROR(IF(benchfee[[#This Row],['# Benchfee]]&gt;benchfee[[#This Row],[FTE]],checks!$B$57,IF(AND(benchfee[[#This Row],['# Benchfee]]&gt;0,benchfee[[#This Row],[Category]]=""),checks!$B$58,"")),""),0,"")</f>
        <v/>
      </c>
      <c r="J47" s="284"/>
      <c r="K47" s="285"/>
      <c r="L47" s="285"/>
      <c r="M47" s="286"/>
    </row>
    <row r="48" spans="1:13" ht="11.25" hidden="1" customHeight="1" x14ac:dyDescent="0.3">
      <c r="A48" s="192"/>
      <c r="B48" s="192"/>
      <c r="C48" s="192"/>
      <c r="D48" s="56"/>
      <c r="E48" s="218" t="s">
        <v>7</v>
      </c>
      <c r="F48" s="56"/>
      <c r="G48" s="218"/>
      <c r="H48" s="7">
        <f ca="1">SUM(benchfee[Amount])</f>
        <v>0</v>
      </c>
      <c r="I48" s="86"/>
      <c r="J48" s="299">
        <f>SUM(J38:J47)</f>
        <v>0</v>
      </c>
      <c r="K48" s="279"/>
      <c r="L48" s="279"/>
      <c r="M48" s="280"/>
    </row>
    <row r="49" spans="1:13" ht="11.25" hidden="1" customHeight="1" x14ac:dyDescent="0.3">
      <c r="A49" s="227"/>
      <c r="B49" s="228"/>
      <c r="C49" s="228"/>
      <c r="D49" s="228"/>
      <c r="E49" s="230" t="s">
        <v>6</v>
      </c>
      <c r="F49" s="229"/>
      <c r="G49" s="230"/>
      <c r="H49" s="231" cm="1">
        <f t="array" aca="1" ref="H49" ca="1">Total_personnel_ac_institutes+Total_fixed_pers+Total_benchfee+Total_personnel_other+Total_other_inst_2021</f>
        <v>0</v>
      </c>
      <c r="I49" s="5"/>
      <c r="J49" s="290">
        <f>SUM(J34,J48)</f>
        <v>0</v>
      </c>
      <c r="K49" s="302"/>
      <c r="L49" s="302"/>
      <c r="M49" s="302"/>
    </row>
    <row r="50" spans="1:13" ht="11.25" hidden="1" customHeight="1" x14ac:dyDescent="0.3">
      <c r="A50" s="16"/>
      <c r="B50" s="17"/>
      <c r="C50" s="17"/>
      <c r="D50" s="17"/>
      <c r="E50" s="225"/>
      <c r="F50" s="226"/>
      <c r="G50" s="226"/>
      <c r="H50" s="226"/>
      <c r="I50" s="5"/>
      <c r="J50" s="288"/>
      <c r="K50" s="301"/>
      <c r="L50" s="301"/>
      <c r="M50" s="300"/>
    </row>
    <row r="51" spans="1:13" ht="11.25" customHeight="1" x14ac:dyDescent="0.3">
      <c r="A51" s="369" t="s">
        <v>8</v>
      </c>
      <c r="B51" s="370"/>
      <c r="C51" s="370"/>
      <c r="D51" s="370"/>
      <c r="E51" s="370"/>
      <c r="F51" s="370"/>
      <c r="G51" s="370"/>
      <c r="H51" s="371"/>
      <c r="I51" s="5"/>
      <c r="J51" s="291"/>
      <c r="K51" s="292"/>
      <c r="L51" s="292"/>
      <c r="M51" s="293"/>
    </row>
    <row r="52" spans="1:13" ht="11.25" customHeight="1" x14ac:dyDescent="0.3">
      <c r="A52" s="44" t="s">
        <v>9</v>
      </c>
      <c r="B52" s="44" t="s">
        <v>153</v>
      </c>
      <c r="C52" s="44" t="s">
        <v>154</v>
      </c>
      <c r="D52" s="44" t="s">
        <v>155</v>
      </c>
      <c r="E52" s="44" t="s">
        <v>628</v>
      </c>
      <c r="F52" s="26" t="s">
        <v>40</v>
      </c>
      <c r="G52" s="26" t="s">
        <v>621</v>
      </c>
      <c r="H52" s="35" t="s">
        <v>10</v>
      </c>
      <c r="I52" s="18"/>
      <c r="J52" s="288"/>
      <c r="K52" s="301"/>
      <c r="L52" s="301"/>
      <c r="M52" s="300"/>
    </row>
    <row r="53" spans="1:13" ht="11.25" customHeight="1" x14ac:dyDescent="0.3">
      <c r="A53" s="198"/>
      <c r="B53" s="90"/>
      <c r="C53" s="90"/>
      <c r="D53" s="90"/>
      <c r="E53" s="199"/>
      <c r="F53" s="200"/>
      <c r="G53" s="198"/>
      <c r="H53" s="73"/>
      <c r="I53" s="18" t="str">
        <f ca="1">checks!B246</f>
        <v/>
      </c>
      <c r="J53" s="281"/>
      <c r="K53" s="282"/>
      <c r="L53" s="282"/>
      <c r="M53" s="283"/>
    </row>
    <row r="54" spans="1:13" ht="11.25" customHeight="1" x14ac:dyDescent="0.3">
      <c r="A54" s="39"/>
      <c r="B54" s="50"/>
      <c r="C54" s="50"/>
      <c r="D54" s="50"/>
      <c r="E54" s="51"/>
      <c r="F54" s="189"/>
      <c r="G54" s="39"/>
      <c r="H54" s="74"/>
      <c r="I54" s="18" t="str">
        <f ca="1">checks!B247</f>
        <v/>
      </c>
      <c r="J54" s="284"/>
      <c r="K54" s="285"/>
      <c r="L54" s="285"/>
      <c r="M54" s="286"/>
    </row>
    <row r="55" spans="1:13" ht="11.25" customHeight="1" x14ac:dyDescent="0.3">
      <c r="A55" s="39"/>
      <c r="B55" s="50"/>
      <c r="C55" s="50"/>
      <c r="D55" s="50"/>
      <c r="E55" s="51"/>
      <c r="F55" s="189"/>
      <c r="G55" s="39"/>
      <c r="H55" s="74"/>
      <c r="I55" s="18" t="str">
        <f ca="1">checks!B248</f>
        <v/>
      </c>
      <c r="J55" s="284"/>
      <c r="K55" s="285"/>
      <c r="L55" s="285"/>
      <c r="M55" s="286"/>
    </row>
    <row r="56" spans="1:13" ht="11.25" customHeight="1" x14ac:dyDescent="0.3">
      <c r="A56" s="39"/>
      <c r="B56" s="50"/>
      <c r="C56" s="50"/>
      <c r="D56" s="50"/>
      <c r="E56" s="51"/>
      <c r="F56" s="189"/>
      <c r="G56" s="39"/>
      <c r="H56" s="74"/>
      <c r="I56" s="18" t="str">
        <f ca="1">checks!B249</f>
        <v/>
      </c>
      <c r="J56" s="284"/>
      <c r="K56" s="285"/>
      <c r="L56" s="285"/>
      <c r="M56" s="286"/>
    </row>
    <row r="57" spans="1:13" ht="11.25" customHeight="1" x14ac:dyDescent="0.3">
      <c r="A57" s="39"/>
      <c r="B57" s="50"/>
      <c r="C57" s="50"/>
      <c r="D57" s="50"/>
      <c r="E57" s="51"/>
      <c r="F57" s="189"/>
      <c r="G57" s="39"/>
      <c r="H57" s="74"/>
      <c r="I57" s="18" t="str">
        <f ca="1">checks!B250</f>
        <v/>
      </c>
      <c r="J57" s="284"/>
      <c r="K57" s="285"/>
      <c r="L57" s="285"/>
      <c r="M57" s="286"/>
    </row>
    <row r="58" spans="1:13" ht="11.25" customHeight="1" x14ac:dyDescent="0.3">
      <c r="A58" s="39"/>
      <c r="B58" s="50"/>
      <c r="C58" s="50"/>
      <c r="D58" s="50"/>
      <c r="E58" s="51"/>
      <c r="F58" s="189"/>
      <c r="G58" s="39"/>
      <c r="H58" s="74"/>
      <c r="I58" s="18" t="str">
        <f ca="1">checks!B251</f>
        <v/>
      </c>
      <c r="J58" s="284"/>
      <c r="K58" s="285"/>
      <c r="L58" s="285"/>
      <c r="M58" s="286"/>
    </row>
    <row r="59" spans="1:13" ht="11.25" customHeight="1" x14ac:dyDescent="0.3">
      <c r="A59" s="39"/>
      <c r="B59" s="50"/>
      <c r="C59" s="50"/>
      <c r="D59" s="50"/>
      <c r="E59" s="51"/>
      <c r="F59" s="189"/>
      <c r="G59" s="39"/>
      <c r="H59" s="74"/>
      <c r="I59" s="18" t="str">
        <f ca="1">checks!B252</f>
        <v/>
      </c>
      <c r="J59" s="284"/>
      <c r="K59" s="285"/>
      <c r="L59" s="285"/>
      <c r="M59" s="286"/>
    </row>
    <row r="60" spans="1:13" ht="11.25" customHeight="1" x14ac:dyDescent="0.3">
      <c r="A60" s="39"/>
      <c r="B60" s="50"/>
      <c r="C60" s="50"/>
      <c r="D60" s="50"/>
      <c r="E60" s="51"/>
      <c r="F60" s="189"/>
      <c r="G60" s="39"/>
      <c r="H60" s="74"/>
      <c r="I60" s="18" t="str">
        <f ca="1">checks!B253</f>
        <v/>
      </c>
      <c r="J60" s="284"/>
      <c r="K60" s="285"/>
      <c r="L60" s="285"/>
      <c r="M60" s="286"/>
    </row>
    <row r="61" spans="1:13" ht="11.25" customHeight="1" x14ac:dyDescent="0.3">
      <c r="A61" s="39"/>
      <c r="B61" s="50"/>
      <c r="C61" s="50"/>
      <c r="D61" s="50"/>
      <c r="E61" s="51"/>
      <c r="F61" s="189"/>
      <c r="G61" s="39"/>
      <c r="H61" s="74"/>
      <c r="I61" s="18" t="str">
        <f ca="1">checks!B254</f>
        <v/>
      </c>
      <c r="J61" s="284"/>
      <c r="K61" s="285"/>
      <c r="L61" s="285"/>
      <c r="M61" s="286"/>
    </row>
    <row r="62" spans="1:13" ht="11.25" customHeight="1" x14ac:dyDescent="0.3">
      <c r="A62" s="39"/>
      <c r="B62" s="50"/>
      <c r="C62" s="50"/>
      <c r="D62" s="50"/>
      <c r="E62" s="51"/>
      <c r="F62" s="189"/>
      <c r="G62" s="39"/>
      <c r="H62" s="74"/>
      <c r="I62" s="18" t="str">
        <f ca="1">checks!B255</f>
        <v/>
      </c>
      <c r="J62" s="284"/>
      <c r="K62" s="285"/>
      <c r="L62" s="285"/>
      <c r="M62" s="286"/>
    </row>
    <row r="63" spans="1:13" ht="11.25" customHeight="1" x14ac:dyDescent="0.3">
      <c r="A63" s="39"/>
      <c r="B63" s="50"/>
      <c r="C63" s="50"/>
      <c r="D63" s="50"/>
      <c r="E63" s="51"/>
      <c r="F63" s="189"/>
      <c r="G63" s="39"/>
      <c r="H63" s="74"/>
      <c r="I63" s="18" t="str">
        <f ca="1">checks!B256</f>
        <v/>
      </c>
      <c r="J63" s="284"/>
      <c r="K63" s="285"/>
      <c r="L63" s="285"/>
      <c r="M63" s="286"/>
    </row>
    <row r="64" spans="1:13" ht="11.25" customHeight="1" x14ac:dyDescent="0.3">
      <c r="A64" s="39"/>
      <c r="B64" s="50"/>
      <c r="C64" s="50"/>
      <c r="D64" s="50"/>
      <c r="E64" s="51"/>
      <c r="F64" s="189"/>
      <c r="G64" s="39"/>
      <c r="H64" s="74"/>
      <c r="I64" s="18" t="str">
        <f ca="1">checks!B257</f>
        <v/>
      </c>
      <c r="J64" s="284"/>
      <c r="K64" s="285"/>
      <c r="L64" s="285"/>
      <c r="M64" s="286"/>
    </row>
    <row r="65" spans="1:13" ht="11.25" customHeight="1" x14ac:dyDescent="0.3">
      <c r="A65" s="39"/>
      <c r="B65" s="50"/>
      <c r="C65" s="50"/>
      <c r="D65" s="50"/>
      <c r="E65" s="51"/>
      <c r="F65" s="189"/>
      <c r="G65" s="39"/>
      <c r="H65" s="74"/>
      <c r="I65" s="18" t="str">
        <f ca="1">checks!B258</f>
        <v/>
      </c>
      <c r="J65" s="284"/>
      <c r="K65" s="285"/>
      <c r="L65" s="285"/>
      <c r="M65" s="286"/>
    </row>
    <row r="66" spans="1:13" ht="11.25" customHeight="1" x14ac:dyDescent="0.3">
      <c r="A66" s="39"/>
      <c r="B66" s="50"/>
      <c r="C66" s="50"/>
      <c r="D66" s="50"/>
      <c r="E66" s="51"/>
      <c r="F66" s="189"/>
      <c r="G66" s="39"/>
      <c r="H66" s="74"/>
      <c r="I66" s="18" t="str">
        <f ca="1">checks!B259</f>
        <v/>
      </c>
      <c r="J66" s="284"/>
      <c r="K66" s="285"/>
      <c r="L66" s="285"/>
      <c r="M66" s="286"/>
    </row>
    <row r="67" spans="1:13" ht="11.25" customHeight="1" x14ac:dyDescent="0.3">
      <c r="A67" s="39"/>
      <c r="B67" s="50"/>
      <c r="C67" s="50"/>
      <c r="D67" s="50"/>
      <c r="E67" s="51"/>
      <c r="F67" s="189"/>
      <c r="G67" s="39"/>
      <c r="H67" s="74"/>
      <c r="I67" s="18" t="str">
        <f ca="1">checks!B260</f>
        <v/>
      </c>
      <c r="J67" s="284"/>
      <c r="K67" s="285"/>
      <c r="L67" s="285"/>
      <c r="M67" s="286"/>
    </row>
    <row r="68" spans="1:13" ht="11.25" customHeight="1" x14ac:dyDescent="0.3">
      <c r="A68" s="39"/>
      <c r="B68" s="50"/>
      <c r="C68" s="50"/>
      <c r="D68" s="50"/>
      <c r="E68" s="51"/>
      <c r="F68" s="189"/>
      <c r="G68" s="39"/>
      <c r="H68" s="74"/>
      <c r="I68" s="18" t="str">
        <f ca="1">checks!B261</f>
        <v/>
      </c>
      <c r="J68" s="284"/>
      <c r="K68" s="285"/>
      <c r="L68" s="285"/>
      <c r="M68" s="286"/>
    </row>
    <row r="69" spans="1:13" ht="11.25" customHeight="1" x14ac:dyDescent="0.3">
      <c r="A69" s="39"/>
      <c r="B69" s="50"/>
      <c r="C69" s="50"/>
      <c r="D69" s="50"/>
      <c r="E69" s="51"/>
      <c r="F69" s="189"/>
      <c r="G69" s="39"/>
      <c r="H69" s="74"/>
      <c r="I69" s="18" t="str">
        <f ca="1">checks!B262</f>
        <v/>
      </c>
      <c r="J69" s="284"/>
      <c r="K69" s="285"/>
      <c r="L69" s="285"/>
      <c r="M69" s="286"/>
    </row>
    <row r="70" spans="1:13" ht="11.25" customHeight="1" x14ac:dyDescent="0.3">
      <c r="A70" s="39"/>
      <c r="B70" s="50"/>
      <c r="C70" s="50"/>
      <c r="D70" s="50"/>
      <c r="E70" s="51"/>
      <c r="F70" s="189"/>
      <c r="G70" s="39"/>
      <c r="H70" s="74"/>
      <c r="I70" s="18" t="str">
        <f ca="1">checks!B263</f>
        <v/>
      </c>
      <c r="J70" s="284"/>
      <c r="K70" s="285"/>
      <c r="L70" s="285"/>
      <c r="M70" s="286"/>
    </row>
    <row r="71" spans="1:13" ht="11.25" customHeight="1" x14ac:dyDescent="0.3">
      <c r="A71" s="39"/>
      <c r="B71" s="50"/>
      <c r="C71" s="50"/>
      <c r="D71" s="50"/>
      <c r="E71" s="51"/>
      <c r="F71" s="189"/>
      <c r="G71" s="39"/>
      <c r="H71" s="74"/>
      <c r="I71" s="18" t="str">
        <f ca="1">checks!B264</f>
        <v/>
      </c>
      <c r="J71" s="284"/>
      <c r="K71" s="285"/>
      <c r="L71" s="285"/>
      <c r="M71" s="286"/>
    </row>
    <row r="72" spans="1:13" ht="11.25" customHeight="1" x14ac:dyDescent="0.3">
      <c r="A72" s="39"/>
      <c r="B72" s="50"/>
      <c r="C72" s="50"/>
      <c r="D72" s="50"/>
      <c r="E72" s="51"/>
      <c r="F72" s="189"/>
      <c r="G72" s="39"/>
      <c r="H72" s="74"/>
      <c r="I72" s="18" t="str">
        <f ca="1">checks!B265</f>
        <v/>
      </c>
      <c r="J72" s="284"/>
      <c r="K72" s="285"/>
      <c r="L72" s="285"/>
      <c r="M72" s="286"/>
    </row>
    <row r="73" spans="1:13" ht="11.25" customHeight="1" x14ac:dyDescent="0.3">
      <c r="A73" s="39"/>
      <c r="B73" s="50"/>
      <c r="C73" s="50"/>
      <c r="D73" s="50"/>
      <c r="E73" s="51"/>
      <c r="F73" s="189"/>
      <c r="G73" s="39"/>
      <c r="H73" s="74"/>
      <c r="I73" s="18" t="str">
        <f ca="1">checks!B266</f>
        <v/>
      </c>
      <c r="J73" s="284"/>
      <c r="K73" s="285"/>
      <c r="L73" s="285"/>
      <c r="M73" s="286"/>
    </row>
    <row r="74" spans="1:13" ht="11.25" customHeight="1" x14ac:dyDescent="0.3">
      <c r="A74" s="39"/>
      <c r="B74" s="50"/>
      <c r="C74" s="50"/>
      <c r="D74" s="50"/>
      <c r="E74" s="51"/>
      <c r="F74" s="189"/>
      <c r="G74" s="39"/>
      <c r="H74" s="74"/>
      <c r="I74" s="18" t="str">
        <f ca="1">checks!B267</f>
        <v/>
      </c>
      <c r="J74" s="284"/>
      <c r="K74" s="285"/>
      <c r="L74" s="285"/>
      <c r="M74" s="286"/>
    </row>
    <row r="75" spans="1:13" ht="11.25" customHeight="1" x14ac:dyDescent="0.3">
      <c r="A75" s="39"/>
      <c r="B75" s="50"/>
      <c r="C75" s="50"/>
      <c r="D75" s="50"/>
      <c r="E75" s="51"/>
      <c r="F75" s="189"/>
      <c r="G75" s="39"/>
      <c r="H75" s="74"/>
      <c r="I75" s="18" t="str">
        <f ca="1">checks!B268</f>
        <v/>
      </c>
      <c r="J75" s="284"/>
      <c r="K75" s="285"/>
      <c r="L75" s="285"/>
      <c r="M75" s="286"/>
    </row>
    <row r="76" spans="1:13" ht="11.25" customHeight="1" x14ac:dyDescent="0.3">
      <c r="A76" s="39"/>
      <c r="B76" s="50"/>
      <c r="C76" s="50"/>
      <c r="D76" s="50"/>
      <c r="E76" s="51"/>
      <c r="F76" s="189"/>
      <c r="G76" s="39"/>
      <c r="H76" s="74"/>
      <c r="I76" s="18" t="str">
        <f ca="1">checks!B269</f>
        <v/>
      </c>
      <c r="J76" s="284"/>
      <c r="K76" s="285"/>
      <c r="L76" s="285"/>
      <c r="M76" s="286"/>
    </row>
    <row r="77" spans="1:13" ht="11.25" customHeight="1" x14ac:dyDescent="0.3">
      <c r="A77" s="39"/>
      <c r="B77" s="50"/>
      <c r="C77" s="50"/>
      <c r="D77" s="50"/>
      <c r="E77" s="51"/>
      <c r="F77" s="189"/>
      <c r="G77" s="39"/>
      <c r="H77" s="74"/>
      <c r="I77" s="18" t="str">
        <f ca="1">checks!B270</f>
        <v/>
      </c>
      <c r="J77" s="284"/>
      <c r="K77" s="285"/>
      <c r="L77" s="285"/>
      <c r="M77" s="286"/>
    </row>
    <row r="78" spans="1:13" ht="11.25" customHeight="1" x14ac:dyDescent="0.3">
      <c r="A78" s="295"/>
      <c r="B78" s="229"/>
      <c r="C78" s="229"/>
      <c r="D78" s="229"/>
      <c r="E78" s="235" t="s">
        <v>12</v>
      </c>
      <c r="F78" s="234"/>
      <c r="G78" s="235"/>
      <c r="H78" s="7">
        <f>SUM(materials[Amount])</f>
        <v>0</v>
      </c>
      <c r="I78" s="18" t="str" cm="1">
        <f t="array" aca="1" ref="I78" ca="1">IF(Total_material_costs&gt;0.5*Total_NWO_funding,"Budget for Material costs exceeds 50% of NWO funding.","")</f>
        <v/>
      </c>
      <c r="J78" s="296">
        <f>SUM(J53:J77)</f>
        <v>0</v>
      </c>
      <c r="K78" s="297"/>
      <c r="L78" s="297"/>
      <c r="M78" s="298"/>
    </row>
    <row r="79" spans="1:13" ht="11.25" customHeight="1" x14ac:dyDescent="0.3">
      <c r="A79" s="232"/>
      <c r="B79" s="221"/>
      <c r="C79" s="221"/>
      <c r="D79" s="221"/>
      <c r="E79" s="221"/>
      <c r="F79" s="221"/>
      <c r="G79" s="221"/>
      <c r="H79" s="233"/>
      <c r="I79" s="183"/>
      <c r="J79" s="62"/>
      <c r="K79" s="301"/>
      <c r="L79" s="301"/>
      <c r="M79" s="300"/>
    </row>
    <row r="80" spans="1:13" ht="11.25" customHeight="1" x14ac:dyDescent="0.3">
      <c r="A80" s="354" t="s">
        <v>11</v>
      </c>
      <c r="B80" s="355"/>
      <c r="C80" s="355"/>
      <c r="D80" s="355"/>
      <c r="E80" s="355"/>
      <c r="F80" s="355"/>
      <c r="G80" s="355"/>
      <c r="H80" s="356"/>
      <c r="I80" s="18"/>
      <c r="J80" s="291"/>
      <c r="K80" s="292"/>
      <c r="L80" s="292"/>
      <c r="M80" s="293"/>
    </row>
    <row r="81" spans="1:13" ht="11.25" customHeight="1" x14ac:dyDescent="0.3">
      <c r="A81" s="33" t="s">
        <v>9</v>
      </c>
      <c r="B81" s="179" t="s">
        <v>153</v>
      </c>
      <c r="C81" s="179" t="s">
        <v>154</v>
      </c>
      <c r="D81" s="179" t="s">
        <v>155</v>
      </c>
      <c r="E81" s="179" t="s">
        <v>628</v>
      </c>
      <c r="F81" s="34" t="s">
        <v>40</v>
      </c>
      <c r="G81" s="35" t="s">
        <v>621</v>
      </c>
      <c r="H81" s="71" t="s">
        <v>10</v>
      </c>
      <c r="I81" s="18"/>
      <c r="J81" s="62"/>
      <c r="K81" s="301"/>
      <c r="L81" s="301"/>
      <c r="M81" s="300"/>
    </row>
    <row r="82" spans="1:13" ht="11.25" customHeight="1" x14ac:dyDescent="0.3">
      <c r="A82" s="23"/>
      <c r="B82" s="180"/>
      <c r="C82" s="180"/>
      <c r="D82" s="180"/>
      <c r="E82" s="180"/>
      <c r="F82" s="188"/>
      <c r="G82" s="43"/>
      <c r="H82" s="73"/>
      <c r="I82"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Row],[Description]])&gt;0,LEN($A81)=0,empty_lines="no"),checks!$B$36,"")))</f>
        <v/>
      </c>
      <c r="J82" s="281"/>
      <c r="K82" s="282"/>
      <c r="L82" s="282"/>
      <c r="M82" s="283"/>
    </row>
    <row r="83" spans="1:13" ht="11.25" customHeight="1" x14ac:dyDescent="0.3">
      <c r="A83" s="24"/>
      <c r="B83" s="181"/>
      <c r="C83" s="181"/>
      <c r="D83" s="181"/>
      <c r="E83" s="181"/>
      <c r="F83" s="189"/>
      <c r="G83" s="39"/>
      <c r="H83" s="74"/>
      <c r="I83"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Row],[Description]])&gt;0,LEN($A82)=0,empty_lines="no"),checks!$B$36,"")))</f>
        <v/>
      </c>
      <c r="J83" s="284"/>
      <c r="K83" s="285"/>
      <c r="L83" s="285"/>
      <c r="M83" s="286"/>
    </row>
    <row r="84" spans="1:13" ht="11.25" customHeight="1" x14ac:dyDescent="0.3">
      <c r="A84" s="24"/>
      <c r="B84" s="181"/>
      <c r="C84" s="181"/>
      <c r="D84" s="181"/>
      <c r="E84" s="181"/>
      <c r="F84" s="189"/>
      <c r="G84" s="39"/>
      <c r="H84" s="74"/>
      <c r="I84"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Row],[Description]])&gt;0,LEN($A83)=0,empty_lines="no"),checks!$B$36,"")))</f>
        <v/>
      </c>
      <c r="J84" s="284"/>
      <c r="K84" s="285"/>
      <c r="L84" s="285"/>
      <c r="M84" s="286"/>
    </row>
    <row r="85" spans="1:13" ht="11.25" customHeight="1" x14ac:dyDescent="0.3">
      <c r="A85" s="24"/>
      <c r="B85" s="182"/>
      <c r="C85" s="182"/>
      <c r="D85" s="182"/>
      <c r="E85" s="182"/>
      <c r="F85" s="202"/>
      <c r="G85" s="45"/>
      <c r="H85" s="74"/>
      <c r="I85"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Row],[Description]])&gt;0,LEN($A84)=0,empty_lines="no"),checks!$B$36,"")))</f>
        <v/>
      </c>
      <c r="J85" s="284"/>
      <c r="K85" s="285"/>
      <c r="L85" s="285"/>
      <c r="M85" s="286"/>
    </row>
    <row r="86" spans="1:13" ht="11.25" customHeight="1" x14ac:dyDescent="0.3">
      <c r="A86" s="24"/>
      <c r="B86" s="182"/>
      <c r="C86" s="182"/>
      <c r="D86" s="182"/>
      <c r="E86" s="182"/>
      <c r="F86" s="202"/>
      <c r="G86" s="45"/>
      <c r="H86" s="74"/>
      <c r="I86"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Row],[Description]])&gt;0,LEN($A85)=0,empty_lines="no"),checks!$B$36,"")))</f>
        <v/>
      </c>
      <c r="J86" s="284"/>
      <c r="K86" s="285"/>
      <c r="L86" s="285"/>
      <c r="M86" s="286"/>
    </row>
    <row r="87" spans="1:13" ht="11.25" customHeight="1" x14ac:dyDescent="0.3">
      <c r="A87" s="24"/>
      <c r="B87" s="182"/>
      <c r="C87" s="182"/>
      <c r="D87" s="182"/>
      <c r="E87" s="182"/>
      <c r="F87" s="202"/>
      <c r="G87" s="45"/>
      <c r="H87" s="74"/>
      <c r="I87"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Row],[Description]])&gt;0,LEN($A86)=0,empty_lines="no"),checks!$B$36,"")))</f>
        <v/>
      </c>
      <c r="J87" s="284"/>
      <c r="K87" s="285"/>
      <c r="L87" s="285"/>
      <c r="M87" s="286"/>
    </row>
    <row r="88" spans="1:13" ht="11.25" customHeight="1" x14ac:dyDescent="0.3">
      <c r="A88" s="24"/>
      <c r="B88" s="182"/>
      <c r="C88" s="182"/>
      <c r="D88" s="182"/>
      <c r="E88" s="182"/>
      <c r="F88" s="202"/>
      <c r="G88" s="45"/>
      <c r="H88" s="74"/>
      <c r="I88"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Row],[Description]])&gt;0,LEN($A87)=0,empty_lines="no"),checks!$B$36,"")))</f>
        <v/>
      </c>
      <c r="J88" s="284"/>
      <c r="K88" s="285"/>
      <c r="L88" s="285"/>
      <c r="M88" s="286"/>
    </row>
    <row r="89" spans="1:13" ht="11.25" customHeight="1" x14ac:dyDescent="0.3">
      <c r="A89" s="24"/>
      <c r="B89" s="182"/>
      <c r="C89" s="182"/>
      <c r="D89" s="182"/>
      <c r="E89" s="182"/>
      <c r="F89" s="202"/>
      <c r="G89" s="45"/>
      <c r="H89" s="74"/>
      <c r="I89"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Row],[Description]])&gt;0,LEN($A88)=0,empty_lines="no"),checks!$B$36,"")))</f>
        <v/>
      </c>
      <c r="J89" s="284"/>
      <c r="K89" s="285"/>
      <c r="L89" s="285"/>
      <c r="M89" s="286"/>
    </row>
    <row r="90" spans="1:13" ht="11.25" customHeight="1" x14ac:dyDescent="0.3">
      <c r="A90" s="24"/>
      <c r="B90" s="182"/>
      <c r="C90" s="182"/>
      <c r="D90" s="182"/>
      <c r="E90" s="182"/>
      <c r="F90" s="202"/>
      <c r="G90" s="45"/>
      <c r="H90" s="74"/>
      <c r="I90"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Row],[Description]])&gt;0,LEN($A89)=0,empty_lines="no"),checks!$B$36,"")))</f>
        <v/>
      </c>
      <c r="J90" s="284"/>
      <c r="K90" s="285"/>
      <c r="L90" s="285"/>
      <c r="M90" s="286"/>
    </row>
    <row r="91" spans="1:13" ht="11.25" customHeight="1" x14ac:dyDescent="0.3">
      <c r="A91" s="24"/>
      <c r="B91" s="182"/>
      <c r="C91" s="182"/>
      <c r="D91" s="182"/>
      <c r="E91" s="182"/>
      <c r="F91" s="202"/>
      <c r="G91" s="45"/>
      <c r="H91" s="74"/>
      <c r="I91"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Row],[Description]])&gt;0,LEN($A90)=0,empty_lines="no"),checks!$B$36,"")))</f>
        <v/>
      </c>
      <c r="J91" s="284"/>
      <c r="K91" s="285"/>
      <c r="L91" s="285"/>
      <c r="M91" s="286"/>
    </row>
    <row r="92" spans="1:13" ht="11.25" customHeight="1" x14ac:dyDescent="0.3">
      <c r="A92" s="24"/>
      <c r="B92" s="182"/>
      <c r="C92" s="182"/>
      <c r="D92" s="182"/>
      <c r="E92" s="182"/>
      <c r="F92" s="202"/>
      <c r="G92" s="45"/>
      <c r="H92" s="74"/>
      <c r="I92"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Row],[Description]])&gt;0,LEN($A91)=0,empty_lines="no"),checks!$B$36,"")))</f>
        <v/>
      </c>
      <c r="J92" s="284"/>
      <c r="K92" s="285"/>
      <c r="L92" s="285"/>
      <c r="M92" s="286"/>
    </row>
    <row r="93" spans="1:13" ht="11.25" customHeight="1" x14ac:dyDescent="0.3">
      <c r="A93" s="24"/>
      <c r="B93" s="182"/>
      <c r="C93" s="182"/>
      <c r="D93" s="182"/>
      <c r="E93" s="182"/>
      <c r="F93" s="202"/>
      <c r="G93" s="45"/>
      <c r="H93" s="74"/>
      <c r="I93"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Row],[Description]])&gt;0,LEN($A92)=0,empty_lines="no"),checks!$B$36,"")))</f>
        <v/>
      </c>
      <c r="J93" s="284"/>
      <c r="K93" s="285"/>
      <c r="L93" s="285"/>
      <c r="M93" s="286"/>
    </row>
    <row r="94" spans="1:13" ht="11.25" customHeight="1" x14ac:dyDescent="0.3">
      <c r="A94" s="24"/>
      <c r="B94" s="182"/>
      <c r="C94" s="182"/>
      <c r="D94" s="182"/>
      <c r="E94" s="182"/>
      <c r="F94" s="202"/>
      <c r="G94" s="45"/>
      <c r="H94" s="74"/>
      <c r="I94"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Row],[Description]])&gt;0,LEN($A93)=0,empty_lines="no"),checks!$B$36,"")))</f>
        <v/>
      </c>
      <c r="J94" s="284"/>
      <c r="K94" s="285"/>
      <c r="L94" s="285"/>
      <c r="M94" s="286"/>
    </row>
    <row r="95" spans="1:13" ht="11.25" customHeight="1" x14ac:dyDescent="0.3">
      <c r="A95" s="24"/>
      <c r="B95" s="182"/>
      <c r="C95" s="182"/>
      <c r="D95" s="182"/>
      <c r="E95" s="182"/>
      <c r="F95" s="202"/>
      <c r="G95" s="45"/>
      <c r="H95" s="74"/>
      <c r="I95"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Row],[Description]])&gt;0,LEN($A94)=0,empty_lines="no"),checks!$B$36,"")))</f>
        <v/>
      </c>
      <c r="J95" s="284"/>
      <c r="K95" s="285"/>
      <c r="L95" s="285"/>
      <c r="M95" s="286"/>
    </row>
    <row r="96" spans="1:13" ht="11.25" customHeight="1" x14ac:dyDescent="0.3">
      <c r="A96" s="24"/>
      <c r="B96" s="182"/>
      <c r="C96" s="182"/>
      <c r="D96" s="182"/>
      <c r="E96" s="182"/>
      <c r="F96" s="202"/>
      <c r="G96" s="45"/>
      <c r="H96" s="74"/>
      <c r="I96" s="18" t="str">
        <f>IF(AND(investments_small[[#This Row],[Amount]]&gt;0,organisation_type="yes",investments_small[[#This Row],[Organisation type]]=""),checks!$B$53,IF(AND(investments_small[[#This Row],[Amount]]&gt;0,organisation_name="yes",investments_small[[#This Row],[Name organisation]]=""),checks!$B$54,IF(AND(LEN(investments_small[[#This Row],[Description]])&gt;0,LEN($A95)=0,empty_lines="no"),checks!$B$36,"")))</f>
        <v/>
      </c>
      <c r="J96" s="284"/>
      <c r="K96" s="285"/>
      <c r="L96" s="285"/>
      <c r="M96" s="286"/>
    </row>
    <row r="97" spans="1:13" ht="11.25" hidden="1" customHeight="1" x14ac:dyDescent="0.3">
      <c r="A97" s="62"/>
      <c r="B97" s="56"/>
      <c r="C97" s="56"/>
      <c r="D97" s="56"/>
      <c r="E97" s="218" t="s">
        <v>7</v>
      </c>
      <c r="F97" s="219"/>
      <c r="G97" s="218"/>
      <c r="H97" s="7">
        <f>SUM(investments_small[Amount])</f>
        <v>0</v>
      </c>
      <c r="I97" s="18"/>
      <c r="J97" s="278">
        <f>SUM(J82:J96)</f>
        <v>0</v>
      </c>
      <c r="K97" s="279"/>
      <c r="L97" s="279"/>
      <c r="M97" s="280"/>
    </row>
    <row r="98" spans="1:13" ht="11.25" customHeight="1" x14ac:dyDescent="0.3">
      <c r="A98" s="4"/>
      <c r="B98" s="237"/>
      <c r="C98" s="237"/>
      <c r="D98" s="238"/>
      <c r="E98" s="230" t="s">
        <v>834</v>
      </c>
      <c r="F98" s="239"/>
      <c r="G98" s="230"/>
      <c r="H98" s="240" cm="1">
        <f t="array" ref="H98">Total_investments_small</f>
        <v>0</v>
      </c>
      <c r="I98" s="18" t="str" cm="1">
        <f t="array" ref="I98">IF(Total_investments&gt;inv_max_total_amount,checks!B84,"")</f>
        <v/>
      </c>
      <c r="J98" s="289" t="e">
        <f>SUM(#REF!+J97)</f>
        <v>#REF!</v>
      </c>
      <c r="K98" s="279"/>
      <c r="L98" s="279"/>
      <c r="M98" s="280"/>
    </row>
    <row r="99" spans="1:13" ht="11.25" customHeight="1" x14ac:dyDescent="0.3">
      <c r="A99" s="382"/>
      <c r="B99" s="359"/>
      <c r="C99" s="359"/>
      <c r="D99" s="359"/>
      <c r="E99" s="359"/>
      <c r="F99" s="359"/>
      <c r="G99" s="236"/>
      <c r="I99" s="5"/>
      <c r="J99" s="288"/>
      <c r="K99" s="301"/>
      <c r="L99" s="301"/>
      <c r="M99" s="300"/>
    </row>
    <row r="100" spans="1:13" ht="11.25" customHeight="1" x14ac:dyDescent="0.3">
      <c r="A100" s="369" t="s">
        <v>13</v>
      </c>
      <c r="B100" s="370"/>
      <c r="C100" s="370"/>
      <c r="D100" s="370"/>
      <c r="E100" s="370"/>
      <c r="F100" s="370"/>
      <c r="G100" s="370"/>
      <c r="H100" s="371"/>
      <c r="I100" s="5"/>
      <c r="J100" s="291"/>
      <c r="K100" s="292"/>
      <c r="L100" s="292"/>
      <c r="M100" s="293"/>
    </row>
    <row r="101" spans="1:13" ht="11.25" customHeight="1" x14ac:dyDescent="0.3">
      <c r="A101" s="174" t="s">
        <v>13</v>
      </c>
      <c r="B101" s="175"/>
      <c r="C101" s="175"/>
      <c r="D101" s="175"/>
      <c r="E101" s="175"/>
      <c r="F101" s="175"/>
      <c r="G101" s="175"/>
      <c r="H101" s="176"/>
      <c r="I101" s="18"/>
      <c r="J101" s="168"/>
      <c r="K101" s="169"/>
      <c r="L101" s="169"/>
      <c r="M101" s="170"/>
    </row>
    <row r="102" spans="1:13" ht="11.25" customHeight="1" x14ac:dyDescent="0.3">
      <c r="A102" s="41" t="s">
        <v>9</v>
      </c>
      <c r="B102" s="41" t="s">
        <v>153</v>
      </c>
      <c r="C102" s="41" t="s">
        <v>154</v>
      </c>
      <c r="D102" s="41" t="s">
        <v>155</v>
      </c>
      <c r="E102" s="41" t="s">
        <v>628</v>
      </c>
      <c r="F102" s="14" t="s">
        <v>40</v>
      </c>
      <c r="G102" s="30" t="s">
        <v>621</v>
      </c>
      <c r="H102" s="72" t="s">
        <v>10</v>
      </c>
      <c r="I102" s="18"/>
      <c r="J102" s="288"/>
      <c r="K102" s="301"/>
      <c r="L102" s="301"/>
      <c r="M102" s="300"/>
    </row>
    <row r="103" spans="1:13" ht="11.25" customHeight="1" x14ac:dyDescent="0.3">
      <c r="A103" s="23"/>
      <c r="B103" s="52"/>
      <c r="C103" s="52"/>
      <c r="D103" s="52"/>
      <c r="E103" s="53"/>
      <c r="F103" s="32"/>
      <c r="G103" s="203"/>
      <c r="H103" s="73"/>
      <c r="I103" s="18" t="str">
        <f ca="1">checks!B275</f>
        <v/>
      </c>
      <c r="J103" s="281"/>
      <c r="K103" s="282"/>
      <c r="L103" s="282"/>
      <c r="M103" s="283"/>
    </row>
    <row r="104" spans="1:13" ht="11.25" customHeight="1" x14ac:dyDescent="0.3">
      <c r="A104" s="24"/>
      <c r="B104" s="54"/>
      <c r="C104" s="54"/>
      <c r="D104" s="54"/>
      <c r="E104" s="55"/>
      <c r="F104" s="31"/>
      <c r="G104" s="57"/>
      <c r="H104" s="74"/>
      <c r="I104" s="18" t="str">
        <f ca="1">checks!B276</f>
        <v/>
      </c>
      <c r="J104" s="284"/>
      <c r="K104" s="285"/>
      <c r="L104" s="285"/>
      <c r="M104" s="286"/>
    </row>
    <row r="105" spans="1:13" ht="11.25" customHeight="1" x14ac:dyDescent="0.3">
      <c r="A105" s="24"/>
      <c r="B105" s="54"/>
      <c r="C105" s="54"/>
      <c r="D105" s="54"/>
      <c r="E105" s="55"/>
      <c r="F105" s="31"/>
      <c r="G105" s="57"/>
      <c r="H105" s="74"/>
      <c r="I105" s="18" t="str">
        <f ca="1">checks!B277</f>
        <v/>
      </c>
      <c r="J105" s="284"/>
      <c r="K105" s="285"/>
      <c r="L105" s="285"/>
      <c r="M105" s="286"/>
    </row>
    <row r="106" spans="1:13" ht="11.25" customHeight="1" x14ac:dyDescent="0.3">
      <c r="A106" s="24"/>
      <c r="B106" s="54"/>
      <c r="C106" s="54"/>
      <c r="D106" s="54"/>
      <c r="E106" s="55"/>
      <c r="F106" s="31"/>
      <c r="G106" s="57"/>
      <c r="H106" s="74"/>
      <c r="I106" s="18" t="str">
        <f ca="1">checks!B278</f>
        <v/>
      </c>
      <c r="J106" s="284"/>
      <c r="K106" s="285"/>
      <c r="L106" s="285"/>
      <c r="M106" s="286"/>
    </row>
    <row r="107" spans="1:13" ht="11.25" customHeight="1" x14ac:dyDescent="0.3">
      <c r="A107" s="24"/>
      <c r="B107" s="54"/>
      <c r="C107" s="54"/>
      <c r="D107" s="54"/>
      <c r="E107" s="55"/>
      <c r="F107" s="31"/>
      <c r="G107" s="57"/>
      <c r="H107" s="74"/>
      <c r="I107" s="18" t="str">
        <f ca="1">checks!B279</f>
        <v/>
      </c>
      <c r="J107" s="284"/>
      <c r="K107" s="285"/>
      <c r="L107" s="285"/>
      <c r="M107" s="286"/>
    </row>
    <row r="108" spans="1:13" ht="11.25" customHeight="1" x14ac:dyDescent="0.3">
      <c r="A108" s="24"/>
      <c r="B108" s="54"/>
      <c r="C108" s="54"/>
      <c r="D108" s="54"/>
      <c r="E108" s="55"/>
      <c r="F108" s="31"/>
      <c r="G108" s="57"/>
      <c r="H108" s="74"/>
      <c r="I108" s="18" t="str">
        <f ca="1">checks!B280</f>
        <v/>
      </c>
      <c r="J108" s="284"/>
      <c r="K108" s="285"/>
      <c r="L108" s="285"/>
      <c r="M108" s="286"/>
    </row>
    <row r="109" spans="1:13" ht="11.25" customHeight="1" x14ac:dyDescent="0.3">
      <c r="A109" s="24"/>
      <c r="B109" s="54"/>
      <c r="C109" s="54"/>
      <c r="D109" s="54"/>
      <c r="E109" s="55"/>
      <c r="F109" s="31"/>
      <c r="G109" s="57"/>
      <c r="H109" s="74"/>
      <c r="I109" s="18" t="str">
        <f ca="1">checks!B281</f>
        <v/>
      </c>
      <c r="J109" s="284"/>
      <c r="K109" s="285"/>
      <c r="L109" s="285"/>
      <c r="M109" s="286"/>
    </row>
    <row r="110" spans="1:13" ht="11.25" customHeight="1" x14ac:dyDescent="0.3">
      <c r="A110" s="24"/>
      <c r="B110" s="54"/>
      <c r="C110" s="54"/>
      <c r="D110" s="54"/>
      <c r="E110" s="55"/>
      <c r="F110" s="31"/>
      <c r="G110" s="57"/>
      <c r="H110" s="74"/>
      <c r="I110" s="18" t="str">
        <f ca="1">checks!B282</f>
        <v/>
      </c>
      <c r="J110" s="284"/>
      <c r="K110" s="285"/>
      <c r="L110" s="285"/>
      <c r="M110" s="286"/>
    </row>
    <row r="111" spans="1:13" ht="11.25" customHeight="1" x14ac:dyDescent="0.3">
      <c r="A111" s="24"/>
      <c r="B111" s="54"/>
      <c r="C111" s="54"/>
      <c r="D111" s="54"/>
      <c r="E111" s="55"/>
      <c r="F111" s="31"/>
      <c r="G111" s="57"/>
      <c r="H111" s="74"/>
      <c r="I111" s="18" t="str">
        <f ca="1">checks!B283</f>
        <v/>
      </c>
      <c r="J111" s="284"/>
      <c r="K111" s="285"/>
      <c r="L111" s="285"/>
      <c r="M111" s="286"/>
    </row>
    <row r="112" spans="1:13" ht="11.25" customHeight="1" x14ac:dyDescent="0.3">
      <c r="A112" s="24"/>
      <c r="B112" s="54"/>
      <c r="C112" s="54"/>
      <c r="D112" s="54"/>
      <c r="E112" s="55"/>
      <c r="F112" s="31"/>
      <c r="G112" s="57"/>
      <c r="H112" s="74"/>
      <c r="I112" s="18" t="str">
        <f ca="1">checks!B284</f>
        <v/>
      </c>
      <c r="J112" s="284"/>
      <c r="K112" s="285"/>
      <c r="L112" s="285"/>
      <c r="M112" s="286"/>
    </row>
    <row r="113" spans="1:13" ht="11.25" customHeight="1" x14ac:dyDescent="0.3">
      <c r="A113" s="24"/>
      <c r="B113" s="54"/>
      <c r="C113" s="54"/>
      <c r="D113" s="54"/>
      <c r="E113" s="55"/>
      <c r="F113" s="31"/>
      <c r="G113" s="57"/>
      <c r="H113" s="74"/>
      <c r="I113" s="18" t="str">
        <f ca="1">checks!B285</f>
        <v/>
      </c>
      <c r="J113" s="284"/>
      <c r="K113" s="285"/>
      <c r="L113" s="285"/>
      <c r="M113" s="286"/>
    </row>
    <row r="114" spans="1:13" ht="11.25" customHeight="1" x14ac:dyDescent="0.3">
      <c r="A114" s="24"/>
      <c r="B114" s="54"/>
      <c r="C114" s="54"/>
      <c r="D114" s="54"/>
      <c r="E114" s="55"/>
      <c r="F114" s="31"/>
      <c r="G114" s="57"/>
      <c r="H114" s="74"/>
      <c r="I114" s="18" t="str">
        <f ca="1">checks!B286</f>
        <v/>
      </c>
      <c r="J114" s="284"/>
      <c r="K114" s="285"/>
      <c r="L114" s="285"/>
      <c r="M114" s="286"/>
    </row>
    <row r="115" spans="1:13" ht="11.25" customHeight="1" x14ac:dyDescent="0.3">
      <c r="A115" s="24"/>
      <c r="B115" s="54"/>
      <c r="C115" s="54"/>
      <c r="D115" s="54"/>
      <c r="E115" s="55"/>
      <c r="F115" s="31"/>
      <c r="G115" s="57"/>
      <c r="H115" s="74"/>
      <c r="I115" s="18" t="str">
        <f ca="1">checks!B287</f>
        <v/>
      </c>
      <c r="J115" s="284"/>
      <c r="K115" s="285"/>
      <c r="L115" s="285"/>
      <c r="M115" s="286"/>
    </row>
    <row r="116" spans="1:13" ht="11.25" customHeight="1" x14ac:dyDescent="0.3">
      <c r="A116" s="24"/>
      <c r="B116" s="54"/>
      <c r="C116" s="54"/>
      <c r="D116" s="54"/>
      <c r="E116" s="55"/>
      <c r="F116" s="31"/>
      <c r="G116" s="57"/>
      <c r="H116" s="74"/>
      <c r="I116" s="18" t="str">
        <f ca="1">checks!B288</f>
        <v/>
      </c>
      <c r="J116" s="284"/>
      <c r="K116" s="285"/>
      <c r="L116" s="285"/>
      <c r="M116" s="286"/>
    </row>
    <row r="117" spans="1:13" ht="11.25" customHeight="1" x14ac:dyDescent="0.3">
      <c r="A117" s="24"/>
      <c r="B117" s="54"/>
      <c r="C117" s="54"/>
      <c r="D117" s="54"/>
      <c r="E117" s="55"/>
      <c r="F117" s="31"/>
      <c r="G117" s="57"/>
      <c r="H117" s="74"/>
      <c r="I117" s="18" t="str">
        <f ca="1">checks!B289</f>
        <v/>
      </c>
      <c r="J117" s="284"/>
      <c r="K117" s="285"/>
      <c r="L117" s="285"/>
      <c r="M117" s="286"/>
    </row>
    <row r="118" spans="1:13" ht="11.25" customHeight="1" x14ac:dyDescent="0.3">
      <c r="A118" s="295"/>
      <c r="B118" s="228"/>
      <c r="C118" s="228"/>
      <c r="D118" s="228"/>
      <c r="E118" s="230" t="s">
        <v>733</v>
      </c>
      <c r="F118" s="228"/>
      <c r="G118" s="230"/>
      <c r="H118" s="7">
        <f>SUM(knowledge_utilisation[Amount])</f>
        <v>0</v>
      </c>
      <c r="I118" s="18"/>
      <c r="J118" s="278">
        <f>SUM(J103:J117)</f>
        <v>0</v>
      </c>
      <c r="K118" s="279"/>
      <c r="L118" s="279"/>
      <c r="M118" s="280"/>
    </row>
    <row r="119" spans="1:13" ht="11.25" customHeight="1" x14ac:dyDescent="0.3">
      <c r="A119" s="244"/>
      <c r="B119" s="244"/>
      <c r="C119" s="244"/>
      <c r="D119" s="244"/>
      <c r="E119" s="244"/>
      <c r="F119" s="244"/>
      <c r="G119" s="244"/>
      <c r="H119" s="244"/>
      <c r="I119" s="18"/>
      <c r="J119" s="314"/>
      <c r="K119" s="315"/>
      <c r="L119" s="315"/>
      <c r="M119" s="316"/>
    </row>
    <row r="120" spans="1:13" ht="11.25" customHeight="1" x14ac:dyDescent="0.3">
      <c r="A120" s="369" t="s">
        <v>843</v>
      </c>
      <c r="B120" s="370"/>
      <c r="C120" s="370"/>
      <c r="D120" s="370"/>
      <c r="E120" s="370"/>
      <c r="F120" s="370"/>
      <c r="G120" s="370"/>
      <c r="H120" s="371"/>
      <c r="I120" s="18"/>
      <c r="J120" s="314"/>
      <c r="K120" s="315"/>
      <c r="L120" s="315"/>
      <c r="M120" s="316"/>
    </row>
    <row r="121" spans="1:13" ht="11.25" customHeight="1" x14ac:dyDescent="0.3">
      <c r="A121" s="317" t="s">
        <v>9</v>
      </c>
      <c r="B121" s="317" t="s">
        <v>153</v>
      </c>
      <c r="C121" s="317" t="s">
        <v>154</v>
      </c>
      <c r="D121" s="317" t="s">
        <v>155</v>
      </c>
      <c r="E121" s="317" t="s">
        <v>628</v>
      </c>
      <c r="F121" s="30" t="s">
        <v>40</v>
      </c>
      <c r="G121" s="30" t="s">
        <v>621</v>
      </c>
      <c r="H121" s="71" t="s">
        <v>10</v>
      </c>
      <c r="I121" s="18"/>
      <c r="J121" s="314"/>
      <c r="K121" s="315"/>
      <c r="L121" s="315"/>
      <c r="M121" s="316"/>
    </row>
    <row r="122" spans="1:13" ht="11.25" customHeight="1" x14ac:dyDescent="0.3">
      <c r="A122" s="23"/>
      <c r="B122" s="52"/>
      <c r="C122" s="52"/>
      <c r="D122" s="52"/>
      <c r="E122" s="53"/>
      <c r="F122" s="32"/>
      <c r="G122" s="203"/>
      <c r="H122" s="59"/>
      <c r="I122" s="18"/>
      <c r="J122" s="314"/>
      <c r="K122" s="315"/>
      <c r="L122" s="315"/>
      <c r="M122" s="316"/>
    </row>
    <row r="123" spans="1:13" ht="11.25" customHeight="1" x14ac:dyDescent="0.3">
      <c r="A123" s="24"/>
      <c r="B123" s="54"/>
      <c r="C123" s="54"/>
      <c r="D123" s="54"/>
      <c r="E123" s="55"/>
      <c r="F123" s="31"/>
      <c r="G123" s="57"/>
      <c r="H123" s="61"/>
      <c r="I123" s="18"/>
      <c r="J123" s="314"/>
      <c r="K123" s="315"/>
      <c r="L123" s="315"/>
      <c r="M123" s="316"/>
    </row>
    <row r="124" spans="1:13" ht="11.25" customHeight="1" x14ac:dyDescent="0.3">
      <c r="A124" s="24"/>
      <c r="B124" s="54"/>
      <c r="C124" s="54"/>
      <c r="D124" s="54"/>
      <c r="E124" s="55"/>
      <c r="F124" s="31"/>
      <c r="G124" s="57"/>
      <c r="H124" s="61"/>
      <c r="I124" s="18"/>
      <c r="J124" s="314"/>
      <c r="K124" s="315"/>
      <c r="L124" s="315"/>
      <c r="M124" s="316"/>
    </row>
    <row r="125" spans="1:13" ht="11.25" customHeight="1" x14ac:dyDescent="0.3">
      <c r="A125" s="24"/>
      <c r="B125" s="54"/>
      <c r="C125" s="54"/>
      <c r="D125" s="54"/>
      <c r="E125" s="55"/>
      <c r="F125" s="31"/>
      <c r="G125" s="57"/>
      <c r="H125" s="61"/>
      <c r="I125" s="18"/>
      <c r="J125" s="314"/>
      <c r="K125" s="315"/>
      <c r="L125" s="315"/>
      <c r="M125" s="316"/>
    </row>
    <row r="126" spans="1:13" ht="11.25" customHeight="1" x14ac:dyDescent="0.3">
      <c r="A126" s="24"/>
      <c r="B126" s="54"/>
      <c r="C126" s="54"/>
      <c r="D126" s="54"/>
      <c r="E126" s="55"/>
      <c r="F126" s="31"/>
      <c r="G126" s="57"/>
      <c r="H126" s="322"/>
      <c r="I126" s="18"/>
      <c r="J126" s="314"/>
      <c r="K126" s="315"/>
      <c r="L126" s="315"/>
      <c r="M126" s="316"/>
    </row>
    <row r="127" spans="1:13" ht="11.25" customHeight="1" x14ac:dyDescent="0.3">
      <c r="A127" s="324"/>
      <c r="B127" s="318"/>
      <c r="C127" s="318"/>
      <c r="D127" s="318"/>
      <c r="E127" s="319" t="s">
        <v>845</v>
      </c>
      <c r="F127" s="320"/>
      <c r="G127" s="321"/>
      <c r="H127" s="323">
        <f>SUM(excess_costs[Amount])</f>
        <v>0</v>
      </c>
      <c r="I127" s="8"/>
      <c r="J127" s="288"/>
      <c r="K127" s="301"/>
      <c r="L127" s="301"/>
      <c r="M127" s="300"/>
    </row>
    <row r="128" spans="1:13" ht="11.25" customHeight="1" x14ac:dyDescent="0.3">
      <c r="A128" s="11"/>
      <c r="G128" s="5"/>
      <c r="I128" s="161"/>
      <c r="J128" s="291"/>
      <c r="K128" s="292"/>
      <c r="L128" s="292"/>
      <c r="M128" s="293"/>
    </row>
    <row r="129" spans="1:13" ht="11.25" customHeight="1" x14ac:dyDescent="0.3">
      <c r="A129" s="369" t="s">
        <v>844</v>
      </c>
      <c r="B129" s="370"/>
      <c r="C129" s="370"/>
      <c r="D129" s="370"/>
      <c r="E129" s="370"/>
      <c r="F129" s="370"/>
      <c r="G129" s="370"/>
      <c r="H129" s="371"/>
      <c r="I129" s="86"/>
      <c r="J129" s="168"/>
      <c r="K129" s="169"/>
      <c r="L129" s="169"/>
      <c r="M129" s="170"/>
    </row>
    <row r="130" spans="1:13" ht="11.25" customHeight="1" x14ac:dyDescent="0.3">
      <c r="A130" s="4" t="s">
        <v>48</v>
      </c>
      <c r="B130" s="237"/>
      <c r="C130" s="237"/>
      <c r="D130" s="237"/>
      <c r="E130" s="237"/>
      <c r="F130" s="237"/>
      <c r="G130" s="237"/>
      <c r="H130" s="294"/>
      <c r="I130" s="86"/>
      <c r="J130" s="288"/>
      <c r="K130" s="301"/>
      <c r="L130" s="301"/>
      <c r="M130" s="300"/>
    </row>
    <row r="131" spans="1:13" ht="11.25" customHeight="1" x14ac:dyDescent="0.3">
      <c r="A131" s="33" t="s">
        <v>842</v>
      </c>
      <c r="B131" s="34" t="s">
        <v>153</v>
      </c>
      <c r="C131" s="34" t="s">
        <v>154</v>
      </c>
      <c r="D131" s="179" t="s">
        <v>630</v>
      </c>
      <c r="E131" s="179" t="s">
        <v>629</v>
      </c>
      <c r="F131" s="30" t="s">
        <v>40</v>
      </c>
      <c r="G131" s="30" t="s">
        <v>621</v>
      </c>
      <c r="H131" s="34" t="s">
        <v>10</v>
      </c>
      <c r="I131" s="86"/>
      <c r="J131" s="281"/>
      <c r="K131" s="282"/>
      <c r="L131" s="282"/>
      <c r="M131" s="283"/>
    </row>
    <row r="132" spans="1:13" ht="11.25" customHeight="1" x14ac:dyDescent="0.3">
      <c r="A132" s="42"/>
      <c r="B132" s="312"/>
      <c r="C132" s="310"/>
      <c r="D132" s="48"/>
      <c r="E132" s="212"/>
      <c r="F132" s="32"/>
      <c r="G132" s="203"/>
      <c r="H132" s="223">
        <f>inkind[[#This Row],[Nr of units or Nr of hours]]*inkind[[#This Row],[Unit price or hourly rate]]</f>
        <v>0</v>
      </c>
      <c r="I132" s="86" t="str">
        <f>checks!B297</f>
        <v/>
      </c>
      <c r="J132" s="284"/>
      <c r="K132" s="285"/>
      <c r="L132" s="285"/>
      <c r="M132" s="286"/>
    </row>
    <row r="133" spans="1:13" ht="12.75" customHeight="1" x14ac:dyDescent="0.3">
      <c r="A133" s="40"/>
      <c r="B133" s="50"/>
      <c r="C133" s="311"/>
      <c r="D133" s="49"/>
      <c r="E133" s="213"/>
      <c r="F133" s="31"/>
      <c r="G133" s="57"/>
      <c r="H133" s="224">
        <f>inkind[[#This Row],[Nr of units or Nr of hours]]*inkind[[#This Row],[Unit price or hourly rate]]</f>
        <v>0</v>
      </c>
      <c r="I133" s="86" t="str">
        <f>checks!B298</f>
        <v/>
      </c>
      <c r="J133" s="284"/>
      <c r="K133" s="285"/>
      <c r="L133" s="285"/>
      <c r="M133" s="286"/>
    </row>
    <row r="134" spans="1:13" ht="12.75" customHeight="1" x14ac:dyDescent="0.3">
      <c r="A134" s="40"/>
      <c r="B134" s="50"/>
      <c r="C134" s="311"/>
      <c r="D134" s="49"/>
      <c r="E134" s="213"/>
      <c r="F134" s="31"/>
      <c r="G134" s="57"/>
      <c r="H134" s="224">
        <f>inkind[[#This Row],[Nr of units or Nr of hours]]*inkind[[#This Row],[Unit price or hourly rate]]</f>
        <v>0</v>
      </c>
      <c r="I134" s="86" t="str">
        <f>checks!B299</f>
        <v/>
      </c>
      <c r="J134" s="284"/>
      <c r="K134" s="285"/>
      <c r="L134" s="285"/>
      <c r="M134" s="286"/>
    </row>
    <row r="135" spans="1:13" ht="12.75" customHeight="1" x14ac:dyDescent="0.3">
      <c r="A135" s="40"/>
      <c r="B135" s="50"/>
      <c r="C135" s="311"/>
      <c r="D135" s="49"/>
      <c r="E135" s="213"/>
      <c r="F135" s="31"/>
      <c r="G135" s="57"/>
      <c r="H135" s="224">
        <f>inkind[[#This Row],[Nr of units or Nr of hours]]*inkind[[#This Row],[Unit price or hourly rate]]</f>
        <v>0</v>
      </c>
      <c r="I135" s="86" t="str">
        <f>checks!B300</f>
        <v/>
      </c>
      <c r="J135" s="284"/>
      <c r="K135" s="285"/>
      <c r="L135" s="285"/>
      <c r="M135" s="286"/>
    </row>
    <row r="136" spans="1:13" ht="12" customHeight="1" x14ac:dyDescent="0.3">
      <c r="A136" s="40"/>
      <c r="B136" s="50"/>
      <c r="C136" s="311"/>
      <c r="D136" s="49"/>
      <c r="E136" s="213"/>
      <c r="F136" s="31"/>
      <c r="G136" s="57"/>
      <c r="H136" s="224">
        <f>inkind[[#This Row],[Nr of units or Nr of hours]]*inkind[[#This Row],[Unit price or hourly rate]]</f>
        <v>0</v>
      </c>
      <c r="I136" s="86" t="str">
        <f>checks!B301</f>
        <v/>
      </c>
      <c r="J136" s="284"/>
      <c r="K136" s="285"/>
      <c r="L136" s="285"/>
      <c r="M136" s="286"/>
    </row>
    <row r="137" spans="1:13" ht="11.25" customHeight="1" x14ac:dyDescent="0.3">
      <c r="A137" s="40"/>
      <c r="B137" s="50"/>
      <c r="C137" s="311"/>
      <c r="D137" s="49"/>
      <c r="E137" s="213"/>
      <c r="F137" s="31"/>
      <c r="G137" s="57"/>
      <c r="H137" s="224">
        <f>inkind[[#This Row],[Nr of units or Nr of hours]]*inkind[[#This Row],[Unit price or hourly rate]]</f>
        <v>0</v>
      </c>
      <c r="I137" s="86" t="str">
        <f>checks!B302</f>
        <v/>
      </c>
      <c r="J137" s="284"/>
      <c r="K137" s="285"/>
      <c r="L137" s="285"/>
      <c r="M137" s="286"/>
    </row>
    <row r="138" spans="1:13" ht="11.25" customHeight="1" x14ac:dyDescent="0.3">
      <c r="A138" s="40"/>
      <c r="B138" s="50"/>
      <c r="C138" s="311"/>
      <c r="D138" s="49"/>
      <c r="E138" s="213"/>
      <c r="F138" s="31"/>
      <c r="G138" s="57"/>
      <c r="H138" s="224">
        <f>inkind[[#This Row],[Nr of units or Nr of hours]]*inkind[[#This Row],[Unit price or hourly rate]]</f>
        <v>0</v>
      </c>
      <c r="I138" s="86" t="str">
        <f>checks!B303</f>
        <v/>
      </c>
      <c r="J138" s="284"/>
      <c r="K138" s="285"/>
      <c r="L138" s="285"/>
      <c r="M138" s="286"/>
    </row>
    <row r="139" spans="1:13" ht="11.25" customHeight="1" x14ac:dyDescent="0.3">
      <c r="A139" s="40"/>
      <c r="B139" s="50"/>
      <c r="C139" s="311"/>
      <c r="D139" s="49"/>
      <c r="E139" s="213"/>
      <c r="F139" s="31"/>
      <c r="G139" s="57"/>
      <c r="H139" s="224">
        <f>inkind[[#This Row],[Nr of units or Nr of hours]]*inkind[[#This Row],[Unit price or hourly rate]]</f>
        <v>0</v>
      </c>
      <c r="I139" s="86" t="str">
        <f>checks!B304</f>
        <v/>
      </c>
      <c r="J139" s="284"/>
      <c r="K139" s="285"/>
      <c r="L139" s="285"/>
      <c r="M139" s="286"/>
    </row>
    <row r="140" spans="1:13" ht="11.25" customHeight="1" x14ac:dyDescent="0.3">
      <c r="A140" s="40"/>
      <c r="B140" s="50"/>
      <c r="C140" s="311"/>
      <c r="D140" s="49"/>
      <c r="E140" s="213"/>
      <c r="F140" s="31"/>
      <c r="G140" s="57"/>
      <c r="H140" s="224">
        <f>inkind[[#This Row],[Nr of units or Nr of hours]]*inkind[[#This Row],[Unit price or hourly rate]]</f>
        <v>0</v>
      </c>
      <c r="I140" s="86" t="str">
        <f>checks!B305</f>
        <v/>
      </c>
      <c r="J140" s="284"/>
      <c r="K140" s="285"/>
      <c r="L140" s="285"/>
      <c r="M140" s="286"/>
    </row>
    <row r="141" spans="1:13" ht="11.25" customHeight="1" x14ac:dyDescent="0.3">
      <c r="A141" s="40"/>
      <c r="B141" s="50"/>
      <c r="C141" s="311"/>
      <c r="D141" s="49"/>
      <c r="E141" s="213"/>
      <c r="F141" s="31"/>
      <c r="G141" s="57"/>
      <c r="H141" s="224">
        <f>inkind[[#This Row],[Nr of units or Nr of hours]]*inkind[[#This Row],[Unit price or hourly rate]]</f>
        <v>0</v>
      </c>
      <c r="I141" s="86" t="str">
        <f>checks!B306</f>
        <v/>
      </c>
      <c r="J141" s="278">
        <f>SUM(J131:J140)</f>
        <v>0</v>
      </c>
      <c r="K141" s="279"/>
      <c r="L141" s="279"/>
      <c r="M141" s="280"/>
    </row>
    <row r="142" spans="1:13" ht="11.25" customHeight="1" x14ac:dyDescent="0.3">
      <c r="A142" s="62"/>
      <c r="B142" s="201"/>
      <c r="C142" s="201"/>
      <c r="D142" s="56"/>
      <c r="E142" s="207" t="s">
        <v>7</v>
      </c>
      <c r="F142" s="214"/>
      <c r="G142" s="207"/>
      <c r="H142" s="7">
        <f>SUM(inkind[Amount])</f>
        <v>0</v>
      </c>
      <c r="I142" s="86"/>
      <c r="J142" s="168"/>
      <c r="K142" s="169"/>
      <c r="L142" s="169"/>
      <c r="M142" s="170"/>
    </row>
    <row r="143" spans="1:13" ht="11.25" customHeight="1" x14ac:dyDescent="0.3">
      <c r="A143" s="168" t="s">
        <v>49</v>
      </c>
      <c r="B143" s="169"/>
      <c r="C143" s="169"/>
      <c r="D143" s="169"/>
      <c r="E143" s="169"/>
      <c r="F143" s="169"/>
      <c r="G143" s="169"/>
      <c r="H143" s="170"/>
      <c r="I143" s="12" t="s">
        <v>572</v>
      </c>
      <c r="J143" s="288"/>
      <c r="K143" s="301"/>
      <c r="L143" s="301"/>
      <c r="M143" s="300"/>
    </row>
    <row r="144" spans="1:13" ht="11.25" customHeight="1" x14ac:dyDescent="0.3">
      <c r="A144" s="303" t="s">
        <v>571</v>
      </c>
      <c r="B144" s="34" t="s">
        <v>153</v>
      </c>
      <c r="C144" s="34" t="s">
        <v>154</v>
      </c>
      <c r="D144" s="34" t="s">
        <v>155</v>
      </c>
      <c r="E144" s="34" t="s">
        <v>628</v>
      </c>
      <c r="F144" s="26" t="s">
        <v>40</v>
      </c>
      <c r="G144" s="30" t="s">
        <v>621</v>
      </c>
      <c r="H144" s="35" t="s">
        <v>10</v>
      </c>
      <c r="I144" s="93"/>
      <c r="J144" s="281"/>
      <c r="K144" s="282"/>
      <c r="L144" s="282"/>
      <c r="M144" s="283"/>
    </row>
    <row r="145" spans="1:13" ht="11.25" customHeight="1" x14ac:dyDescent="0.3">
      <c r="A145" s="42"/>
      <c r="B145" s="90"/>
      <c r="C145" s="91"/>
      <c r="D145" s="204"/>
      <c r="E145" s="206"/>
      <c r="F145" s="89"/>
      <c r="G145" s="208"/>
      <c r="H145" s="59"/>
      <c r="I145" s="86" t="str">
        <f>IF(AND(incash[[#This Row],[Amount]]&gt;0,organisation_type="yes",incash[[#This Row],[Organisation type]]=""),checks!$B$53,IF(AND(incash[[#This Row],[Amount]]&gt;0,organisation_name="yes",incash[[#This Row],[Name organisation]]=""),checks!$B$54,IF(AND(LEN(incash[[#This Row],[Organisation]])&gt;0,LEN($A144)=0,empty_lines="no"),checks!$B$36,"")))</f>
        <v/>
      </c>
      <c r="J145" s="284"/>
      <c r="K145" s="285"/>
      <c r="L145" s="285"/>
      <c r="M145" s="286"/>
    </row>
    <row r="146" spans="1:13" ht="11.25" customHeight="1" x14ac:dyDescent="0.3">
      <c r="A146" s="40"/>
      <c r="B146" s="50"/>
      <c r="C146" s="92"/>
      <c r="D146" s="205"/>
      <c r="E146" s="205"/>
      <c r="F146" s="60"/>
      <c r="G146" s="209"/>
      <c r="H146" s="61"/>
      <c r="I146" s="86" t="str">
        <f>IF(AND(incash[[#This Row],[Amount]]&gt;0,organisation_type="yes",incash[[#This Row],[Organisation type]]=""),checks!$B$53,IF(AND(incash[[#This Row],[Amount]]&gt;0,organisation_name="yes",incash[[#This Row],[Name organisation]]=""),checks!$B$54,IF(AND(LEN(incash[[#This Row],[Organisation]])&gt;0,LEN($A145)=0,empty_lines="no"),checks!$B$36,"")))</f>
        <v/>
      </c>
      <c r="J146" s="284"/>
      <c r="K146" s="285"/>
      <c r="L146" s="285"/>
      <c r="M146" s="286"/>
    </row>
    <row r="147" spans="1:13" ht="11.25" customHeight="1" x14ac:dyDescent="0.3">
      <c r="A147" s="40"/>
      <c r="B147" s="50"/>
      <c r="C147" s="92"/>
      <c r="D147" s="205"/>
      <c r="E147" s="205"/>
      <c r="F147" s="60"/>
      <c r="G147" s="209"/>
      <c r="H147" s="61"/>
      <c r="I147" s="86" t="str">
        <f>IF(AND(incash[[#This Row],[Amount]]&gt;0,organisation_type="yes",incash[[#This Row],[Organisation type]]=""),checks!$B$53,IF(AND(incash[[#This Row],[Amount]]&gt;0,organisation_name="yes",incash[[#This Row],[Name organisation]]=""),checks!$B$54,IF(AND(LEN(incash[[#This Row],[Organisation]])&gt;0,LEN($A146)=0,empty_lines="no"),checks!$B$36,"")))</f>
        <v/>
      </c>
      <c r="J147" s="284"/>
      <c r="K147" s="285"/>
      <c r="L147" s="285"/>
      <c r="M147" s="286"/>
    </row>
    <row r="148" spans="1:13" ht="11.25" customHeight="1" x14ac:dyDescent="0.3">
      <c r="A148" s="40"/>
      <c r="B148" s="50"/>
      <c r="C148" s="92"/>
      <c r="D148" s="205"/>
      <c r="E148" s="205"/>
      <c r="F148" s="60"/>
      <c r="G148" s="209"/>
      <c r="H148" s="61"/>
      <c r="I148" s="86" t="str">
        <f>IF(AND(incash[[#This Row],[Amount]]&gt;0,organisation_type="yes",incash[[#This Row],[Organisation type]]=""),checks!$B$53,IF(AND(incash[[#This Row],[Amount]]&gt;0,organisation_name="yes",incash[[#This Row],[Name organisation]]=""),checks!$B$54,IF(AND(LEN(incash[[#This Row],[Organisation]])&gt;0,LEN($A147)=0,empty_lines="no"),checks!$B$36,"")))</f>
        <v/>
      </c>
      <c r="J148" s="284"/>
      <c r="K148" s="285"/>
      <c r="L148" s="285"/>
      <c r="M148" s="286"/>
    </row>
    <row r="149" spans="1:13" ht="11.25" customHeight="1" x14ac:dyDescent="0.3">
      <c r="A149" s="40"/>
      <c r="B149" s="50"/>
      <c r="C149" s="92"/>
      <c r="D149" s="205"/>
      <c r="E149" s="205"/>
      <c r="F149" s="60"/>
      <c r="G149" s="209"/>
      <c r="H149" s="61"/>
      <c r="I149" s="86" t="str">
        <f>IF(AND(incash[[#This Row],[Amount]]&gt;0,organisation_type="yes",incash[[#This Row],[Organisation type]]=""),checks!$B$53,IF(AND(incash[[#This Row],[Amount]]&gt;0,organisation_name="yes",incash[[#This Row],[Name organisation]]=""),checks!$B$54,IF(AND(LEN(incash[[#This Row],[Organisation]])&gt;0,LEN($A148)=0,empty_lines="no"),checks!$B$36,"")))</f>
        <v/>
      </c>
      <c r="J149" s="284"/>
      <c r="K149" s="285"/>
      <c r="L149" s="285"/>
      <c r="M149" s="286"/>
    </row>
    <row r="150" spans="1:13" ht="11.25" customHeight="1" x14ac:dyDescent="0.3">
      <c r="A150" s="40"/>
      <c r="B150" s="50"/>
      <c r="C150" s="92"/>
      <c r="D150" s="205"/>
      <c r="E150" s="205"/>
      <c r="F150" s="60"/>
      <c r="G150" s="209"/>
      <c r="H150" s="61"/>
      <c r="I150" s="86" t="str">
        <f>IF(AND(incash[[#This Row],[Amount]]&gt;0,organisation_type="yes",incash[[#This Row],[Organisation type]]=""),checks!$B$53,IF(AND(incash[[#This Row],[Amount]]&gt;0,organisation_name="yes",incash[[#This Row],[Name organisation]]=""),checks!$B$54,IF(AND(LEN(incash[[#This Row],[Organisation]])&gt;0,LEN($A149)=0,empty_lines="no"),checks!$B$36,"")))</f>
        <v/>
      </c>
      <c r="J150" s="284"/>
      <c r="K150" s="285"/>
      <c r="L150" s="285"/>
      <c r="M150" s="286"/>
    </row>
    <row r="151" spans="1:13" ht="11.25" customHeight="1" x14ac:dyDescent="0.3">
      <c r="A151" s="40"/>
      <c r="B151" s="50"/>
      <c r="C151" s="92"/>
      <c r="D151" s="205"/>
      <c r="E151" s="205"/>
      <c r="F151" s="60"/>
      <c r="G151" s="209"/>
      <c r="H151" s="61"/>
      <c r="I151" s="86" t="str">
        <f>IF(AND(incash[[#This Row],[Amount]]&gt;0,organisation_type="yes",incash[[#This Row],[Organisation type]]=""),checks!$B$53,IF(AND(incash[[#This Row],[Amount]]&gt;0,organisation_name="yes",incash[[#This Row],[Name organisation]]=""),checks!$B$54,IF(AND(LEN(incash[[#This Row],[Organisation]])&gt;0,LEN($A150)=0,empty_lines="no"),checks!$B$36,"")))</f>
        <v/>
      </c>
      <c r="J151" s="284"/>
      <c r="K151" s="285"/>
      <c r="L151" s="285"/>
      <c r="M151" s="286"/>
    </row>
    <row r="152" spans="1:13" ht="11.25" customHeight="1" x14ac:dyDescent="0.3">
      <c r="A152" s="40"/>
      <c r="B152" s="50"/>
      <c r="C152" s="92"/>
      <c r="D152" s="205"/>
      <c r="E152" s="205"/>
      <c r="F152" s="60"/>
      <c r="G152" s="209"/>
      <c r="H152" s="61"/>
      <c r="I152" s="86" t="str">
        <f>IF(AND(incash[[#This Row],[Amount]]&gt;0,organisation_type="yes",incash[[#This Row],[Organisation type]]=""),checks!$B$53,IF(AND(incash[[#This Row],[Amount]]&gt;0,organisation_name="yes",incash[[#This Row],[Name organisation]]=""),checks!$B$54,IF(AND(LEN(incash[[#This Row],[Organisation]])&gt;0,LEN($A151)=0,empty_lines="no"),checks!$B$36,"")))</f>
        <v/>
      </c>
      <c r="J152" s="284"/>
      <c r="K152" s="285"/>
      <c r="L152" s="285"/>
      <c r="M152" s="286"/>
    </row>
    <row r="153" spans="1:13" ht="11.25" customHeight="1" x14ac:dyDescent="0.3">
      <c r="A153" s="40"/>
      <c r="B153" s="50"/>
      <c r="C153" s="92"/>
      <c r="D153" s="205"/>
      <c r="E153" s="205"/>
      <c r="F153" s="60"/>
      <c r="G153" s="209"/>
      <c r="H153" s="61"/>
      <c r="I153" s="86" t="str">
        <f>IF(AND(incash[[#This Row],[Amount]]&gt;0,organisation_type="yes",incash[[#This Row],[Organisation type]]=""),checks!$B$53,IF(AND(incash[[#This Row],[Amount]]&gt;0,organisation_name="yes",incash[[#This Row],[Name organisation]]=""),checks!$B$54,IF(AND(LEN(incash[[#This Row],[Organisation]])&gt;0,LEN($A152)=0,empty_lines="no"),checks!$B$36,"")))</f>
        <v/>
      </c>
      <c r="J153" s="284"/>
      <c r="K153" s="285"/>
      <c r="L153" s="285"/>
      <c r="M153" s="286"/>
    </row>
    <row r="154" spans="1:13" ht="11.25" customHeight="1" x14ac:dyDescent="0.3">
      <c r="A154" s="40"/>
      <c r="B154" s="50"/>
      <c r="C154" s="92"/>
      <c r="D154" s="205"/>
      <c r="E154" s="205"/>
      <c r="F154" s="60"/>
      <c r="G154" s="209"/>
      <c r="H154" s="61"/>
      <c r="I154" s="86" t="str">
        <f>IF(AND(incash[[#This Row],[Amount]]&gt;0,organisation_type="yes",incash[[#This Row],[Organisation type]]=""),checks!$B$53,IF(AND(incash[[#This Row],[Amount]]&gt;0,organisation_name="yes",incash[[#This Row],[Name organisation]]=""),checks!$B$54,IF(AND(LEN(incash[[#This Row],[Organisation]])&gt;0,LEN($A153)=0,empty_lines="no"),checks!$B$36,"")))</f>
        <v/>
      </c>
      <c r="J154" s="278">
        <f>SUM(J144:J153)</f>
        <v>0</v>
      </c>
      <c r="K154" s="279"/>
      <c r="L154" s="279"/>
      <c r="M154" s="280"/>
    </row>
    <row r="155" spans="1:13" ht="11.25" customHeight="1" x14ac:dyDescent="0.3">
      <c r="A155" s="62"/>
      <c r="B155" s="201"/>
      <c r="C155" s="201"/>
      <c r="D155" s="201"/>
      <c r="E155" s="207" t="s">
        <v>7</v>
      </c>
      <c r="F155" s="193"/>
      <c r="G155" s="207"/>
      <c r="H155" s="210">
        <f>SUM(incash[Amount])</f>
        <v>0</v>
      </c>
      <c r="I155" s="86" t="str">
        <f ca="1">IF(AND(Total_project_budget&gt;0,Total_cofunding_incash&lt;cash_cofunding_minperc*Total_project_budget),checks!$B$97,"")</f>
        <v/>
      </c>
      <c r="J155" s="290">
        <f>SUM(J141,J154)</f>
        <v>0</v>
      </c>
      <c r="K155" s="302"/>
      <c r="L155" s="302"/>
      <c r="M155" s="302"/>
    </row>
    <row r="156" spans="1:13" ht="11.25" customHeight="1" x14ac:dyDescent="0.3">
      <c r="A156" s="227"/>
      <c r="B156" s="228"/>
      <c r="C156" s="228"/>
      <c r="D156" s="228"/>
      <c r="E156" s="230" t="s">
        <v>36</v>
      </c>
      <c r="F156" s="237"/>
      <c r="G156" s="230"/>
      <c r="H156" s="231" cm="1">
        <f t="array" ref="H156">Total_cofunding_inkind+Total_cofunding_incash</f>
        <v>0</v>
      </c>
      <c r="I156" s="86" t="str">
        <f ca="1">cofunding_comb_notes[Combined notes]</f>
        <v/>
      </c>
    </row>
    <row r="157" spans="1:13" ht="11.25" customHeight="1" x14ac:dyDescent="0.3"/>
    <row r="158" spans="1:13" ht="11.25" hidden="1" customHeight="1" x14ac:dyDescent="0.3"/>
    <row r="159" spans="1:13" ht="11.25" hidden="1" customHeight="1" x14ac:dyDescent="0.3"/>
    <row r="160" spans="1:13" ht="11.25" hidden="1" customHeight="1" x14ac:dyDescent="0.3"/>
    <row r="161" ht="11.25" hidden="1" customHeight="1" x14ac:dyDescent="0.3"/>
    <row r="162" ht="11.25" hidden="1" customHeight="1" x14ac:dyDescent="0.3"/>
    <row r="163" ht="11.25" hidden="1" customHeight="1" x14ac:dyDescent="0.3"/>
    <row r="164" ht="11.25" hidden="1" customHeight="1" x14ac:dyDescent="0.3"/>
    <row r="165" ht="11.25" hidden="1" customHeight="1" x14ac:dyDescent="0.3"/>
    <row r="166" ht="11.25" hidden="1" customHeight="1" x14ac:dyDescent="0.3"/>
    <row r="167" ht="11.25" hidden="1" customHeight="1" x14ac:dyDescent="0.3"/>
    <row r="168" ht="11.25" hidden="1" customHeight="1" x14ac:dyDescent="0.3"/>
    <row r="169" ht="11.25" hidden="1" customHeight="1" x14ac:dyDescent="0.3"/>
    <row r="170" ht="11.25" hidden="1" customHeight="1" x14ac:dyDescent="0.3"/>
    <row r="171" ht="11.25" hidden="1" customHeight="1" x14ac:dyDescent="0.3"/>
    <row r="172" ht="11.25" hidden="1" customHeight="1" x14ac:dyDescent="0.3"/>
    <row r="173" ht="11.25" hidden="1" customHeight="1" x14ac:dyDescent="0.3"/>
    <row r="174" ht="11.25" hidden="1" customHeight="1" x14ac:dyDescent="0.3"/>
    <row r="175" ht="11.25" hidden="1" customHeight="1" x14ac:dyDescent="0.3"/>
    <row r="176" ht="11.25" hidden="1" customHeight="1" x14ac:dyDescent="0.3"/>
    <row r="177" ht="11.25" hidden="1" customHeight="1" x14ac:dyDescent="0.3"/>
    <row r="178" ht="11.25" hidden="1" customHeight="1" x14ac:dyDescent="0.3"/>
    <row r="179" ht="11.25" hidden="1" customHeight="1" x14ac:dyDescent="0.3"/>
    <row r="180" ht="11.25" hidden="1" customHeight="1" x14ac:dyDescent="0.3"/>
    <row r="181" ht="11.25" hidden="1" customHeight="1" x14ac:dyDescent="0.3"/>
    <row r="182" ht="11.25" hidden="1" customHeight="1" x14ac:dyDescent="0.3"/>
    <row r="183" ht="11.25" hidden="1" customHeight="1" x14ac:dyDescent="0.3"/>
    <row r="184" ht="11.25" hidden="1" customHeight="1" x14ac:dyDescent="0.3"/>
    <row r="185" ht="11.25" hidden="1" customHeight="1" x14ac:dyDescent="0.3"/>
    <row r="186" ht="11.25" hidden="1" customHeight="1" x14ac:dyDescent="0.3"/>
    <row r="187" ht="11.25" hidden="1" customHeight="1" x14ac:dyDescent="0.3"/>
    <row r="188" ht="11.25" hidden="1" customHeight="1" x14ac:dyDescent="0.3"/>
    <row r="189" ht="11.25" hidden="1" customHeight="1" x14ac:dyDescent="0.3"/>
    <row r="190" ht="11.25" hidden="1" customHeight="1" x14ac:dyDescent="0.3"/>
    <row r="191" ht="11.25" hidden="1" customHeight="1" x14ac:dyDescent="0.3"/>
    <row r="192" ht="11.25" hidden="1" customHeight="1" x14ac:dyDescent="0.3"/>
    <row r="193" ht="11.25" hidden="1" customHeight="1" x14ac:dyDescent="0.3"/>
    <row r="194" ht="11.25" hidden="1" customHeight="1" x14ac:dyDescent="0.3"/>
    <row r="195" ht="11.25" hidden="1" customHeight="1" x14ac:dyDescent="0.3"/>
    <row r="196" ht="11.25" hidden="1" customHeight="1" x14ac:dyDescent="0.3"/>
    <row r="197" ht="11.25" hidden="1" customHeight="1" x14ac:dyDescent="0.3"/>
    <row r="198" ht="11.25" hidden="1" customHeight="1" x14ac:dyDescent="0.3"/>
    <row r="199" ht="11.25" hidden="1" customHeight="1" x14ac:dyDescent="0.3"/>
    <row r="200" ht="11.25" hidden="1" customHeight="1" x14ac:dyDescent="0.3"/>
    <row r="201" ht="11.25" hidden="1" customHeight="1" x14ac:dyDescent="0.3"/>
    <row r="202" ht="11.25" hidden="1" customHeight="1" x14ac:dyDescent="0.3"/>
    <row r="203" ht="11.25" hidden="1" customHeight="1" x14ac:dyDescent="0.3"/>
    <row r="204" ht="11.25" hidden="1" customHeight="1" x14ac:dyDescent="0.3"/>
    <row r="205" ht="11.25" hidden="1" customHeight="1" x14ac:dyDescent="0.3"/>
    <row r="206" ht="11.25" hidden="1" customHeight="1" x14ac:dyDescent="0.3"/>
    <row r="207" ht="11.25" hidden="1" customHeight="1" x14ac:dyDescent="0.3"/>
    <row r="208" ht="11.25" hidden="1" customHeight="1" x14ac:dyDescent="0.3"/>
    <row r="209" ht="11.25" hidden="1" customHeight="1" x14ac:dyDescent="0.3"/>
    <row r="210" ht="11.25" hidden="1" customHeight="1" x14ac:dyDescent="0.3"/>
    <row r="211" ht="11.25" hidden="1" customHeight="1" x14ac:dyDescent="0.3"/>
    <row r="212" ht="11.25" hidden="1" customHeight="1" x14ac:dyDescent="0.3"/>
    <row r="213" ht="11.25" hidden="1" customHeight="1" x14ac:dyDescent="0.3"/>
    <row r="214" ht="11.25" hidden="1" customHeight="1" x14ac:dyDescent="0.3"/>
    <row r="215" ht="11.25" hidden="1" customHeight="1" x14ac:dyDescent="0.3"/>
    <row r="216" ht="11.25" hidden="1" customHeight="1" x14ac:dyDescent="0.3"/>
    <row r="217" ht="11.25" hidden="1" customHeight="1" x14ac:dyDescent="0.3"/>
    <row r="218" ht="11.25" hidden="1" customHeight="1" x14ac:dyDescent="0.3"/>
    <row r="219" ht="11.25" hidden="1" customHeight="1" x14ac:dyDescent="0.3"/>
    <row r="220" ht="11.25" hidden="1" customHeight="1" x14ac:dyDescent="0.3"/>
    <row r="221" ht="11.25" hidden="1" customHeight="1" x14ac:dyDescent="0.3"/>
    <row r="222" ht="11.25" hidden="1" customHeight="1" x14ac:dyDescent="0.3"/>
    <row r="223" ht="11.25" hidden="1" customHeight="1" x14ac:dyDescent="0.3"/>
    <row r="224" ht="11.25" hidden="1" customHeight="1" x14ac:dyDescent="0.3"/>
    <row r="225" ht="11.25" hidden="1" customHeight="1" x14ac:dyDescent="0.3"/>
    <row r="226" ht="11.25" hidden="1" customHeight="1" x14ac:dyDescent="0.3"/>
    <row r="227" ht="11.25" hidden="1" customHeight="1" x14ac:dyDescent="0.3"/>
    <row r="228" ht="11.25" hidden="1" customHeight="1" x14ac:dyDescent="0.3"/>
    <row r="229" ht="11.25" hidden="1" customHeight="1" x14ac:dyDescent="0.3"/>
    <row r="230" ht="11.25" hidden="1" customHeight="1" x14ac:dyDescent="0.3"/>
    <row r="231" ht="11.25" hidden="1" customHeight="1" x14ac:dyDescent="0.3"/>
    <row r="232" ht="11.25" hidden="1" customHeight="1" x14ac:dyDescent="0.3"/>
    <row r="233" ht="11.25" hidden="1" customHeight="1" x14ac:dyDescent="0.3"/>
    <row r="234" ht="11.25" hidden="1" customHeight="1" x14ac:dyDescent="0.3"/>
    <row r="235" ht="11.25" hidden="1" customHeight="1" x14ac:dyDescent="0.3"/>
    <row r="236" ht="11.25" hidden="1" customHeight="1" x14ac:dyDescent="0.3"/>
    <row r="237" ht="11.25" hidden="1" customHeight="1" x14ac:dyDescent="0.3"/>
    <row r="238" ht="11.25" hidden="1" customHeight="1" x14ac:dyDescent="0.3"/>
    <row r="239" ht="11.25" hidden="1" customHeight="1" x14ac:dyDescent="0.3"/>
    <row r="240" ht="12.75" hidden="1" customHeight="1" x14ac:dyDescent="0.3"/>
    <row r="241" ht="11.25" hidden="1" customHeight="1" x14ac:dyDescent="0.3"/>
    <row r="242" ht="12.75" hidden="1" customHeight="1" x14ac:dyDescent="0.3"/>
    <row r="243" ht="12.75" hidden="1" customHeight="1" x14ac:dyDescent="0.3"/>
    <row r="244" ht="15" hidden="1" customHeight="1" x14ac:dyDescent="0.3"/>
    <row r="245" ht="11.25" hidden="1" customHeight="1" x14ac:dyDescent="0.3"/>
    <row r="246" ht="11.25" hidden="1" customHeight="1" x14ac:dyDescent="0.3"/>
    <row r="247" ht="11.25" hidden="1" customHeight="1" x14ac:dyDescent="0.3"/>
    <row r="248" ht="11.25" hidden="1" customHeight="1" x14ac:dyDescent="0.3"/>
    <row r="249" ht="11.25" hidden="1" customHeight="1" x14ac:dyDescent="0.3"/>
    <row r="250" ht="11.25" hidden="1" customHeight="1" x14ac:dyDescent="0.3"/>
    <row r="251" ht="11.25" hidden="1" customHeight="1" x14ac:dyDescent="0.3"/>
    <row r="252" ht="11.25" hidden="1" customHeight="1" x14ac:dyDescent="0.3"/>
    <row r="253" ht="11.25" hidden="1" customHeight="1" x14ac:dyDescent="0.3"/>
    <row r="254" ht="11.25" hidden="1" customHeight="1" x14ac:dyDescent="0.3"/>
    <row r="255" ht="11.25" hidden="1" customHeight="1" x14ac:dyDescent="0.3"/>
    <row r="256" ht="11.25" hidden="1" customHeight="1" x14ac:dyDescent="0.3"/>
    <row r="257" ht="11.25" hidden="1" customHeight="1" x14ac:dyDescent="0.3"/>
    <row r="258" ht="11.25" hidden="1" customHeight="1" x14ac:dyDescent="0.3"/>
    <row r="259" ht="11.25" hidden="1" customHeight="1" x14ac:dyDescent="0.3"/>
    <row r="260" ht="11.25" hidden="1" customHeight="1" x14ac:dyDescent="0.3"/>
    <row r="261" ht="11.25" hidden="1" customHeight="1" x14ac:dyDescent="0.3"/>
    <row r="262" ht="11.25" hidden="1" customHeight="1" x14ac:dyDescent="0.3"/>
    <row r="263" ht="11.25" hidden="1" customHeight="1" x14ac:dyDescent="0.3"/>
    <row r="264" ht="11.25" hidden="1" customHeight="1" x14ac:dyDescent="0.3"/>
    <row r="265" ht="11.25" hidden="1" customHeight="1" x14ac:dyDescent="0.3"/>
    <row r="266" ht="11.25" hidden="1" customHeight="1" x14ac:dyDescent="0.3"/>
    <row r="267" ht="11.25" hidden="1" customHeight="1" x14ac:dyDescent="0.3"/>
    <row r="268" ht="11.25" hidden="1" customHeight="1" x14ac:dyDescent="0.3"/>
    <row r="269" ht="11.25" hidden="1" customHeight="1" x14ac:dyDescent="0.3"/>
    <row r="270" ht="11.25" hidden="1" customHeight="1" x14ac:dyDescent="0.3"/>
    <row r="271" ht="11.25" hidden="1" customHeight="1" x14ac:dyDescent="0.3"/>
    <row r="272" ht="11.25" hidden="1" customHeight="1" x14ac:dyDescent="0.3"/>
    <row r="273" ht="11.25" hidden="1" customHeight="1" x14ac:dyDescent="0.3"/>
    <row r="274" ht="11.25" hidden="1" customHeight="1" x14ac:dyDescent="0.3"/>
    <row r="275" ht="11.25" hidden="1" customHeight="1" x14ac:dyDescent="0.3"/>
    <row r="276" ht="11.25" hidden="1" customHeight="1" x14ac:dyDescent="0.3"/>
    <row r="277" ht="11.25" hidden="1" customHeight="1" x14ac:dyDescent="0.3"/>
    <row r="278" ht="11.25" hidden="1" customHeight="1" x14ac:dyDescent="0.3"/>
    <row r="279" ht="11.25" hidden="1" customHeight="1" x14ac:dyDescent="0.3"/>
    <row r="280" ht="11.25" hidden="1" customHeight="1" x14ac:dyDescent="0.3"/>
    <row r="281" ht="11.25" hidden="1" customHeight="1" x14ac:dyDescent="0.3"/>
    <row r="282" ht="11.25" hidden="1" customHeight="1" x14ac:dyDescent="0.3"/>
    <row r="283" ht="11.25" hidden="1" customHeight="1" x14ac:dyDescent="0.3"/>
    <row r="284" ht="11.25" hidden="1" customHeight="1" x14ac:dyDescent="0.3"/>
    <row r="285" ht="11.25" hidden="1" customHeight="1" x14ac:dyDescent="0.3"/>
    <row r="286" ht="11.25" hidden="1" customHeight="1" x14ac:dyDescent="0.3"/>
    <row r="287" ht="11.25" hidden="1" customHeight="1" x14ac:dyDescent="0.3"/>
    <row r="288" ht="11.25" hidden="1" customHeight="1" x14ac:dyDescent="0.3"/>
    <row r="289" ht="11.25" hidden="1" customHeight="1" x14ac:dyDescent="0.3"/>
    <row r="290" ht="11.25" hidden="1" customHeight="1" x14ac:dyDescent="0.3"/>
    <row r="291" ht="11.25" hidden="1" customHeight="1" x14ac:dyDescent="0.3"/>
    <row r="292" ht="11.25" hidden="1" customHeight="1" x14ac:dyDescent="0.3"/>
    <row r="293" ht="11.25" hidden="1" customHeight="1" x14ac:dyDescent="0.3"/>
    <row r="294" ht="11.25" hidden="1" customHeight="1" x14ac:dyDescent="0.3"/>
    <row r="295" ht="11.25" hidden="1" customHeight="1" x14ac:dyDescent="0.3"/>
    <row r="296" ht="11.25" hidden="1" customHeight="1" x14ac:dyDescent="0.3"/>
    <row r="297" ht="11.25" hidden="1" customHeight="1" x14ac:dyDescent="0.3"/>
    <row r="298" ht="11.25" hidden="1" customHeight="1" x14ac:dyDescent="0.3"/>
    <row r="299" ht="11.25" hidden="1" customHeight="1" x14ac:dyDescent="0.3"/>
    <row r="300" ht="11.25" hidden="1" customHeight="1" x14ac:dyDescent="0.3"/>
    <row r="301" ht="11.25" hidden="1" customHeight="1" x14ac:dyDescent="0.3"/>
    <row r="302" ht="11.25" hidden="1" customHeight="1" x14ac:dyDescent="0.3"/>
    <row r="303" ht="11.25" hidden="1" customHeight="1" x14ac:dyDescent="0.3"/>
    <row r="304" ht="11.25" hidden="1" customHeight="1" x14ac:dyDescent="0.3"/>
    <row r="305" ht="11.25" hidden="1" customHeight="1" x14ac:dyDescent="0.3"/>
    <row r="306" ht="11.25" hidden="1" customHeight="1" x14ac:dyDescent="0.3"/>
    <row r="307" ht="11.25" hidden="1" customHeight="1" x14ac:dyDescent="0.3"/>
    <row r="308" ht="11.25" hidden="1" customHeight="1" x14ac:dyDescent="0.3"/>
    <row r="309" ht="11.25" hidden="1" customHeight="1" x14ac:dyDescent="0.3"/>
    <row r="310" ht="11.25" hidden="1" customHeight="1" x14ac:dyDescent="0.3"/>
    <row r="311" ht="11.25" hidden="1" customHeight="1" x14ac:dyDescent="0.3"/>
    <row r="312" ht="11.25" hidden="1" customHeight="1" x14ac:dyDescent="0.3"/>
    <row r="313" ht="11.25" hidden="1" customHeight="1" x14ac:dyDescent="0.3"/>
    <row r="314" ht="11.25" hidden="1" customHeight="1" x14ac:dyDescent="0.3"/>
    <row r="315" ht="11.25" hidden="1" customHeight="1" x14ac:dyDescent="0.3"/>
    <row r="316" ht="11.25" hidden="1" customHeight="1" x14ac:dyDescent="0.3"/>
    <row r="317" ht="11.25" hidden="1" customHeight="1" x14ac:dyDescent="0.3"/>
    <row r="318" ht="11.25" hidden="1" customHeight="1" x14ac:dyDescent="0.3"/>
    <row r="319" ht="11.25" hidden="1" customHeight="1" x14ac:dyDescent="0.3"/>
    <row r="320" ht="11.25" hidden="1" customHeight="1" x14ac:dyDescent="0.3"/>
    <row r="321" ht="11.25" hidden="1" customHeight="1" x14ac:dyDescent="0.3"/>
    <row r="322" ht="11.25" hidden="1" customHeight="1" x14ac:dyDescent="0.3"/>
    <row r="323" ht="11.25" hidden="1" customHeight="1" x14ac:dyDescent="0.3"/>
    <row r="324" ht="11.25" hidden="1" customHeight="1" x14ac:dyDescent="0.3"/>
    <row r="325" ht="11.25" hidden="1" customHeight="1" x14ac:dyDescent="0.3"/>
    <row r="326" ht="11.25" hidden="1" customHeight="1" x14ac:dyDescent="0.3"/>
    <row r="327" ht="11.25" hidden="1" customHeight="1" x14ac:dyDescent="0.3"/>
    <row r="328" ht="11.25" hidden="1" customHeight="1" x14ac:dyDescent="0.3"/>
    <row r="329" ht="11.25" hidden="1" customHeight="1" x14ac:dyDescent="0.3"/>
    <row r="330" ht="11.25" hidden="1" customHeight="1" x14ac:dyDescent="0.3"/>
    <row r="331" ht="11.25" hidden="1" customHeight="1" x14ac:dyDescent="0.3"/>
    <row r="332" ht="11.25" hidden="1" customHeight="1" x14ac:dyDescent="0.3"/>
    <row r="333" ht="11.25" hidden="1" customHeight="1" x14ac:dyDescent="0.3"/>
    <row r="334" ht="11.25" hidden="1" customHeight="1" x14ac:dyDescent="0.3"/>
    <row r="335" ht="11.25" hidden="1" customHeight="1" x14ac:dyDescent="0.3"/>
    <row r="336" ht="11.25" hidden="1" customHeight="1" x14ac:dyDescent="0.3"/>
    <row r="337" ht="11.25" hidden="1" customHeight="1" x14ac:dyDescent="0.3"/>
    <row r="338" ht="11.25" hidden="1" customHeight="1" x14ac:dyDescent="0.3"/>
    <row r="339" ht="11.25" hidden="1" customHeight="1" x14ac:dyDescent="0.3"/>
    <row r="340" ht="11.25" hidden="1" customHeight="1" x14ac:dyDescent="0.3"/>
    <row r="341" ht="11.25" hidden="1" customHeight="1" x14ac:dyDescent="0.3"/>
    <row r="342" ht="11.25" hidden="1" customHeight="1" x14ac:dyDescent="0.3"/>
    <row r="343" ht="11.25" hidden="1" customHeight="1" x14ac:dyDescent="0.3"/>
    <row r="344" ht="11.25" hidden="1" customHeight="1" x14ac:dyDescent="0.3"/>
    <row r="345" ht="12.75" hidden="1" customHeight="1" x14ac:dyDescent="0.3"/>
    <row r="346" ht="11.25" hidden="1" customHeight="1" x14ac:dyDescent="0.3"/>
    <row r="347" ht="12.75" hidden="1" customHeight="1" x14ac:dyDescent="0.3"/>
    <row r="348" ht="15" hidden="1" customHeight="1" x14ac:dyDescent="0.3"/>
    <row r="349" ht="11.25" hidden="1" customHeight="1" x14ac:dyDescent="0.3"/>
    <row r="350" ht="11.25" hidden="1" customHeight="1" x14ac:dyDescent="0.3"/>
    <row r="351" ht="11.25" hidden="1" customHeight="1" x14ac:dyDescent="0.3"/>
    <row r="352" ht="11.25" hidden="1" customHeight="1" x14ac:dyDescent="0.3"/>
    <row r="353" ht="11.25" hidden="1" customHeight="1" x14ac:dyDescent="0.3"/>
    <row r="354" ht="11.25" hidden="1" customHeight="1" x14ac:dyDescent="0.3"/>
    <row r="355" ht="11.25" hidden="1" customHeight="1" x14ac:dyDescent="0.3"/>
    <row r="356" ht="11.25" hidden="1" customHeight="1" x14ac:dyDescent="0.3"/>
    <row r="357" ht="11.25" hidden="1" customHeight="1" x14ac:dyDescent="0.3"/>
    <row r="358" ht="11.25" hidden="1" customHeight="1" x14ac:dyDescent="0.3"/>
    <row r="359" ht="11.25" hidden="1" customHeight="1" x14ac:dyDescent="0.3"/>
    <row r="360" ht="11.25" hidden="1" customHeight="1" x14ac:dyDescent="0.3"/>
    <row r="361" ht="11.25" hidden="1" customHeight="1" x14ac:dyDescent="0.3"/>
    <row r="362" ht="11.25" hidden="1" customHeight="1" x14ac:dyDescent="0.3"/>
    <row r="363" ht="11.25" hidden="1" customHeight="1" x14ac:dyDescent="0.3"/>
    <row r="364" ht="11.25" hidden="1" customHeight="1" x14ac:dyDescent="0.3"/>
    <row r="365" ht="11.25" hidden="1" customHeight="1" x14ac:dyDescent="0.3"/>
    <row r="366" ht="11.25" hidden="1" customHeight="1" x14ac:dyDescent="0.3"/>
    <row r="367" ht="11.25" hidden="1" customHeight="1" x14ac:dyDescent="0.3"/>
    <row r="368" ht="11.25" hidden="1" customHeight="1" x14ac:dyDescent="0.3"/>
    <row r="369" ht="11.25" hidden="1" customHeight="1" x14ac:dyDescent="0.3"/>
    <row r="370" ht="11.25" hidden="1" customHeight="1" x14ac:dyDescent="0.3"/>
    <row r="371" ht="11.25" hidden="1" customHeight="1" x14ac:dyDescent="0.3"/>
    <row r="372" ht="11.25" hidden="1" customHeight="1" x14ac:dyDescent="0.3"/>
    <row r="373" ht="11.25" hidden="1" customHeight="1" x14ac:dyDescent="0.3"/>
    <row r="374" ht="11.25" hidden="1" customHeight="1" x14ac:dyDescent="0.3"/>
    <row r="375" ht="11.25" hidden="1" customHeight="1" x14ac:dyDescent="0.3"/>
    <row r="376" ht="11.25" hidden="1" customHeight="1" x14ac:dyDescent="0.3"/>
    <row r="377" ht="11.25" hidden="1" customHeight="1" x14ac:dyDescent="0.3"/>
    <row r="378" ht="11.25" hidden="1" customHeight="1" x14ac:dyDescent="0.3"/>
    <row r="379" ht="11.25" hidden="1" customHeight="1" x14ac:dyDescent="0.3"/>
    <row r="380" ht="11.25" hidden="1" customHeight="1" x14ac:dyDescent="0.3"/>
    <row r="381" ht="11.25" hidden="1" customHeight="1" x14ac:dyDescent="0.3"/>
    <row r="382" ht="11.25" hidden="1" customHeight="1" x14ac:dyDescent="0.3"/>
    <row r="383" ht="11.25" hidden="1" customHeight="1" x14ac:dyDescent="0.3"/>
    <row r="384" ht="11.25" hidden="1" customHeight="1" x14ac:dyDescent="0.3"/>
    <row r="385" ht="11.25" hidden="1" customHeight="1" x14ac:dyDescent="0.3"/>
    <row r="386" ht="11.25" hidden="1" customHeight="1" x14ac:dyDescent="0.3"/>
    <row r="387" ht="11.25" hidden="1" customHeight="1" x14ac:dyDescent="0.3"/>
    <row r="388" ht="11.25" hidden="1" customHeight="1" x14ac:dyDescent="0.3"/>
    <row r="389" ht="11.25" hidden="1" customHeight="1" x14ac:dyDescent="0.3"/>
    <row r="390" ht="11.25" hidden="1" customHeight="1" x14ac:dyDescent="0.3"/>
    <row r="391" ht="11.25" hidden="1" customHeight="1" x14ac:dyDescent="0.3"/>
    <row r="392" ht="11.25" hidden="1" customHeight="1" x14ac:dyDescent="0.3"/>
    <row r="393" ht="11.25" hidden="1" customHeight="1" x14ac:dyDescent="0.3"/>
    <row r="394" ht="11.25" hidden="1" customHeight="1" x14ac:dyDescent="0.3"/>
    <row r="395" ht="11.25" hidden="1" customHeight="1" x14ac:dyDescent="0.3"/>
    <row r="396" ht="11.25" hidden="1" customHeight="1" x14ac:dyDescent="0.3"/>
    <row r="397" ht="11.25" hidden="1" customHeight="1" x14ac:dyDescent="0.3"/>
    <row r="398" ht="11.25" hidden="1" customHeight="1" x14ac:dyDescent="0.3"/>
    <row r="399" ht="11.25" hidden="1" customHeight="1" x14ac:dyDescent="0.3"/>
    <row r="400" ht="11.25" hidden="1" customHeight="1" x14ac:dyDescent="0.3"/>
    <row r="401" ht="11.25" hidden="1" customHeight="1" x14ac:dyDescent="0.3"/>
    <row r="402" ht="11.25" hidden="1" customHeight="1" x14ac:dyDescent="0.3"/>
    <row r="403" ht="11.25" hidden="1" customHeight="1" x14ac:dyDescent="0.3"/>
    <row r="404" ht="11.25" hidden="1" customHeight="1" x14ac:dyDescent="0.3"/>
    <row r="405" ht="11.25" hidden="1" customHeight="1" x14ac:dyDescent="0.3"/>
    <row r="406" ht="11.25" hidden="1" customHeight="1" x14ac:dyDescent="0.3"/>
    <row r="407" ht="11.25" hidden="1" customHeight="1" x14ac:dyDescent="0.3"/>
    <row r="408" ht="11.25" hidden="1" customHeight="1" x14ac:dyDescent="0.3"/>
    <row r="409" ht="11.25" hidden="1" customHeight="1" x14ac:dyDescent="0.3"/>
    <row r="410" ht="11.25" hidden="1" customHeight="1" x14ac:dyDescent="0.3"/>
    <row r="411" ht="11.25" hidden="1" customHeight="1" x14ac:dyDescent="0.3"/>
    <row r="412" ht="11.25" hidden="1" customHeight="1" x14ac:dyDescent="0.3"/>
    <row r="413" ht="11.25" hidden="1" customHeight="1" x14ac:dyDescent="0.3"/>
    <row r="414" ht="11.25" hidden="1" customHeight="1" x14ac:dyDescent="0.3"/>
    <row r="415" ht="11.25" hidden="1" customHeight="1" x14ac:dyDescent="0.3"/>
    <row r="416" ht="11.25" hidden="1" customHeight="1" x14ac:dyDescent="0.3"/>
    <row r="417" ht="11.25" hidden="1" customHeight="1" x14ac:dyDescent="0.3"/>
    <row r="418" ht="11.25" hidden="1" customHeight="1" x14ac:dyDescent="0.3"/>
    <row r="419" ht="11.25" hidden="1" customHeight="1" x14ac:dyDescent="0.3"/>
    <row r="420" ht="11.25" hidden="1" customHeight="1" x14ac:dyDescent="0.3"/>
    <row r="421" ht="11.25" hidden="1" customHeight="1" x14ac:dyDescent="0.3"/>
    <row r="422" ht="11.25" hidden="1" customHeight="1" x14ac:dyDescent="0.3"/>
    <row r="423" ht="11.25" hidden="1" customHeight="1" x14ac:dyDescent="0.3"/>
    <row r="424" ht="11.25" hidden="1" customHeight="1" x14ac:dyDescent="0.3"/>
    <row r="425" ht="11.25" hidden="1" customHeight="1" x14ac:dyDescent="0.3"/>
    <row r="426" ht="11.25" hidden="1" customHeight="1" x14ac:dyDescent="0.3"/>
    <row r="427" ht="11.25" hidden="1" customHeight="1" x14ac:dyDescent="0.3"/>
    <row r="428" ht="11.25" hidden="1" customHeight="1" x14ac:dyDescent="0.3"/>
    <row r="429" ht="11.25" hidden="1" customHeight="1" x14ac:dyDescent="0.3"/>
    <row r="430" ht="11.25" hidden="1" customHeight="1" x14ac:dyDescent="0.3"/>
    <row r="431" ht="11.25" hidden="1" customHeight="1" x14ac:dyDescent="0.3"/>
    <row r="432" ht="11.25" hidden="1" customHeight="1" x14ac:dyDescent="0.3"/>
    <row r="433" ht="11.25" hidden="1" customHeight="1" x14ac:dyDescent="0.3"/>
    <row r="434" ht="11.25" hidden="1" customHeight="1" x14ac:dyDescent="0.3"/>
    <row r="435" ht="11.25" hidden="1" customHeight="1" x14ac:dyDescent="0.3"/>
    <row r="436" ht="11.25" hidden="1" customHeight="1" x14ac:dyDescent="0.3"/>
    <row r="437" ht="11.25" hidden="1" customHeight="1" x14ac:dyDescent="0.3"/>
    <row r="438" ht="11.25" hidden="1" customHeight="1" x14ac:dyDescent="0.3"/>
    <row r="439" ht="11.25" hidden="1" customHeight="1" x14ac:dyDescent="0.3"/>
    <row r="440" ht="11.25" hidden="1" customHeight="1" x14ac:dyDescent="0.3"/>
    <row r="441" ht="11.25" hidden="1" customHeight="1" x14ac:dyDescent="0.3"/>
    <row r="442" ht="11.25" hidden="1" customHeight="1" x14ac:dyDescent="0.3"/>
    <row r="443" ht="11.25" hidden="1" customHeight="1" x14ac:dyDescent="0.3"/>
    <row r="444" ht="11.25" hidden="1" customHeight="1" x14ac:dyDescent="0.3"/>
    <row r="445" ht="11.25" hidden="1" customHeight="1" x14ac:dyDescent="0.3"/>
    <row r="446" ht="11.25" hidden="1" customHeight="1" x14ac:dyDescent="0.3"/>
    <row r="447" ht="11.25" hidden="1" customHeight="1" x14ac:dyDescent="0.3"/>
    <row r="448" ht="11.25" hidden="1" customHeight="1" x14ac:dyDescent="0.3"/>
    <row r="449" ht="12.75" hidden="1" customHeight="1" x14ac:dyDescent="0.3"/>
    <row r="450" ht="11.25" hidden="1" customHeight="1" x14ac:dyDescent="0.3"/>
    <row r="451" ht="12.75" hidden="1" customHeight="1" x14ac:dyDescent="0.3"/>
    <row r="452" ht="12.75" hidden="1" customHeight="1" x14ac:dyDescent="0.3"/>
    <row r="453" ht="15" hidden="1" customHeight="1" x14ac:dyDescent="0.3"/>
    <row r="454" ht="11.25" hidden="1" customHeight="1" x14ac:dyDescent="0.3"/>
    <row r="455" ht="11.25" hidden="1" customHeight="1" x14ac:dyDescent="0.3"/>
    <row r="456" ht="11.25" hidden="1" customHeight="1" x14ac:dyDescent="0.3"/>
    <row r="457" ht="11.25" hidden="1" customHeight="1" x14ac:dyDescent="0.3"/>
    <row r="458" ht="11.25" hidden="1" customHeight="1" x14ac:dyDescent="0.3"/>
    <row r="459" ht="11.25" hidden="1" customHeight="1" x14ac:dyDescent="0.3"/>
    <row r="460" ht="11.25" hidden="1" customHeight="1" x14ac:dyDescent="0.3"/>
    <row r="461" ht="11.25" hidden="1" customHeight="1" x14ac:dyDescent="0.3"/>
    <row r="462" ht="11.25" hidden="1" customHeight="1" x14ac:dyDescent="0.3"/>
    <row r="463" ht="11.25" hidden="1" customHeight="1" x14ac:dyDescent="0.3"/>
    <row r="464" ht="11.25" hidden="1" customHeight="1" x14ac:dyDescent="0.3"/>
    <row r="465" ht="11.25" hidden="1" customHeight="1" x14ac:dyDescent="0.3"/>
    <row r="466" ht="11.25" hidden="1" customHeight="1" x14ac:dyDescent="0.3"/>
    <row r="467" ht="11.25" hidden="1" customHeight="1" x14ac:dyDescent="0.3"/>
    <row r="468" ht="11.25" hidden="1" customHeight="1" x14ac:dyDescent="0.3"/>
    <row r="469" ht="11.25" hidden="1" customHeight="1" x14ac:dyDescent="0.3"/>
    <row r="470" ht="11.25" hidden="1" customHeight="1" x14ac:dyDescent="0.3"/>
    <row r="471" ht="11.25" hidden="1" customHeight="1" x14ac:dyDescent="0.3"/>
    <row r="472" ht="11.25" hidden="1" customHeight="1" x14ac:dyDescent="0.3"/>
    <row r="473" ht="11.25" hidden="1" customHeight="1" x14ac:dyDescent="0.3"/>
    <row r="474" ht="11.25" hidden="1" customHeight="1" x14ac:dyDescent="0.3"/>
    <row r="475" ht="11.25" hidden="1" customHeight="1" x14ac:dyDescent="0.3"/>
    <row r="476" ht="11.25" hidden="1" customHeight="1" x14ac:dyDescent="0.3"/>
    <row r="477" ht="11.25" hidden="1" customHeight="1" x14ac:dyDescent="0.3"/>
    <row r="478" ht="11.25" hidden="1" customHeight="1" x14ac:dyDescent="0.3"/>
    <row r="479" ht="11.25" hidden="1" customHeight="1" x14ac:dyDescent="0.3"/>
    <row r="480" ht="11.25" hidden="1" customHeight="1" x14ac:dyDescent="0.3"/>
    <row r="481" ht="11.25" hidden="1" customHeight="1" x14ac:dyDescent="0.3"/>
    <row r="482" ht="11.25" hidden="1" customHeight="1" x14ac:dyDescent="0.3"/>
    <row r="483" ht="11.25" hidden="1" customHeight="1" x14ac:dyDescent="0.3"/>
    <row r="484" ht="11.25" hidden="1" customHeight="1" x14ac:dyDescent="0.3"/>
    <row r="485" ht="11.25" hidden="1" customHeight="1" x14ac:dyDescent="0.3"/>
    <row r="486" ht="11.25" hidden="1" customHeight="1" x14ac:dyDescent="0.3"/>
    <row r="487" ht="11.25" hidden="1" customHeight="1" x14ac:dyDescent="0.3"/>
    <row r="488" ht="11.25" hidden="1" customHeight="1" x14ac:dyDescent="0.3"/>
    <row r="489" ht="11.25" hidden="1" customHeight="1" x14ac:dyDescent="0.3"/>
    <row r="490" ht="11.25" hidden="1" customHeight="1" x14ac:dyDescent="0.3"/>
    <row r="491" ht="11.25" hidden="1" customHeight="1" x14ac:dyDescent="0.3"/>
    <row r="492" ht="11.25" hidden="1" customHeight="1" x14ac:dyDescent="0.3"/>
    <row r="493" ht="11.25" hidden="1" customHeight="1" x14ac:dyDescent="0.3"/>
    <row r="494" ht="11.25" hidden="1" customHeight="1" x14ac:dyDescent="0.3"/>
    <row r="495" ht="11.25" hidden="1" customHeight="1" x14ac:dyDescent="0.3"/>
    <row r="496" ht="11.25" hidden="1" customHeight="1" x14ac:dyDescent="0.3"/>
    <row r="497" ht="11.25" hidden="1" customHeight="1" x14ac:dyDescent="0.3"/>
    <row r="498" ht="11.25" hidden="1" customHeight="1" x14ac:dyDescent="0.3"/>
    <row r="499" ht="11.25" hidden="1" customHeight="1" x14ac:dyDescent="0.3"/>
    <row r="500" ht="11.25" hidden="1" customHeight="1" x14ac:dyDescent="0.3"/>
    <row r="501" ht="11.25" hidden="1" customHeight="1" x14ac:dyDescent="0.3"/>
    <row r="502" ht="11.25" hidden="1" customHeight="1" x14ac:dyDescent="0.3"/>
    <row r="503" ht="11.25" hidden="1" customHeight="1" x14ac:dyDescent="0.3"/>
    <row r="504" ht="11.25" hidden="1" customHeight="1" x14ac:dyDescent="0.3"/>
    <row r="505" ht="11.25" hidden="1" customHeight="1" x14ac:dyDescent="0.3"/>
    <row r="506" ht="11.25" hidden="1" customHeight="1" x14ac:dyDescent="0.3"/>
    <row r="507" ht="11.25" hidden="1" customHeight="1" x14ac:dyDescent="0.3"/>
    <row r="508" ht="11.25" hidden="1" customHeight="1" x14ac:dyDescent="0.3"/>
    <row r="509" ht="11.25" hidden="1" customHeight="1" x14ac:dyDescent="0.3"/>
    <row r="510" ht="11.25" hidden="1" customHeight="1" x14ac:dyDescent="0.3"/>
    <row r="511" ht="11.25" hidden="1" customHeight="1" x14ac:dyDescent="0.3"/>
    <row r="512" ht="11.25" hidden="1" customHeight="1" x14ac:dyDescent="0.3"/>
    <row r="513" ht="11.25" hidden="1" customHeight="1" x14ac:dyDescent="0.3"/>
    <row r="514" ht="11.25" hidden="1" customHeight="1" x14ac:dyDescent="0.3"/>
    <row r="515" ht="11.25" hidden="1" customHeight="1" x14ac:dyDescent="0.3"/>
    <row r="516" ht="11.25" hidden="1" customHeight="1" x14ac:dyDescent="0.3"/>
    <row r="517" ht="11.25" hidden="1" customHeight="1" x14ac:dyDescent="0.3"/>
    <row r="518" ht="11.25" hidden="1" customHeight="1" x14ac:dyDescent="0.3"/>
    <row r="519" ht="11.25" hidden="1" customHeight="1" x14ac:dyDescent="0.3"/>
    <row r="520" ht="11.25" hidden="1" customHeight="1" x14ac:dyDescent="0.3"/>
    <row r="521" ht="11.25" hidden="1" customHeight="1" x14ac:dyDescent="0.3"/>
    <row r="522" ht="11.25" hidden="1" customHeight="1" x14ac:dyDescent="0.3"/>
    <row r="523" ht="11.25" hidden="1" customHeight="1" x14ac:dyDescent="0.3"/>
    <row r="524" ht="11.25" hidden="1" customHeight="1" x14ac:dyDescent="0.3"/>
    <row r="525" ht="11.25" hidden="1" customHeight="1" x14ac:dyDescent="0.3"/>
    <row r="526" ht="11.25" hidden="1" customHeight="1" x14ac:dyDescent="0.3"/>
    <row r="527" ht="11.25" hidden="1" customHeight="1" x14ac:dyDescent="0.3"/>
    <row r="528" ht="11.25" hidden="1" customHeight="1" x14ac:dyDescent="0.3"/>
    <row r="529" ht="11.25" hidden="1" customHeight="1" x14ac:dyDescent="0.3"/>
    <row r="530" ht="11.25" hidden="1" customHeight="1" x14ac:dyDescent="0.3"/>
    <row r="531" ht="11.25" hidden="1" customHeight="1" x14ac:dyDescent="0.3"/>
    <row r="532" ht="11.25" hidden="1" customHeight="1" x14ac:dyDescent="0.3"/>
    <row r="533" ht="11.25" hidden="1" customHeight="1" x14ac:dyDescent="0.3"/>
    <row r="534" ht="11.25" hidden="1" customHeight="1" x14ac:dyDescent="0.3"/>
    <row r="535" ht="11.25" hidden="1" customHeight="1" x14ac:dyDescent="0.3"/>
    <row r="536" ht="11.25" hidden="1" customHeight="1" x14ac:dyDescent="0.3"/>
    <row r="537" ht="11.25" hidden="1" customHeight="1" x14ac:dyDescent="0.3"/>
    <row r="538" ht="11.25" hidden="1" customHeight="1" x14ac:dyDescent="0.3"/>
    <row r="539" ht="11.25" hidden="1" customHeight="1" x14ac:dyDescent="0.3"/>
    <row r="540" ht="11.25" hidden="1" customHeight="1" x14ac:dyDescent="0.3"/>
    <row r="541" ht="11.25" hidden="1" customHeight="1" x14ac:dyDescent="0.3"/>
    <row r="542" ht="11.25" hidden="1" customHeight="1" x14ac:dyDescent="0.3"/>
    <row r="543" ht="11.25" hidden="1" customHeight="1" x14ac:dyDescent="0.3"/>
    <row r="544" ht="11.25" hidden="1" customHeight="1" x14ac:dyDescent="0.3"/>
    <row r="545" ht="11.25" hidden="1" customHeight="1" x14ac:dyDescent="0.3"/>
    <row r="546" ht="11.25" hidden="1" customHeight="1" x14ac:dyDescent="0.3"/>
    <row r="547" ht="11.25" hidden="1" customHeight="1" x14ac:dyDescent="0.3"/>
    <row r="548" ht="11.25" hidden="1" customHeight="1" x14ac:dyDescent="0.3"/>
    <row r="549" ht="11.25" hidden="1" customHeight="1" x14ac:dyDescent="0.3"/>
    <row r="550" ht="11.25" hidden="1" customHeight="1" x14ac:dyDescent="0.3"/>
    <row r="551" ht="11.25" hidden="1" customHeight="1" x14ac:dyDescent="0.3"/>
    <row r="552" ht="11.25" hidden="1" customHeight="1" x14ac:dyDescent="0.3"/>
    <row r="553" ht="11.25" hidden="1" customHeight="1" x14ac:dyDescent="0.3"/>
    <row r="554" ht="11.25" hidden="1" customHeight="1" x14ac:dyDescent="0.3"/>
    <row r="555" ht="12.75" hidden="1" customHeight="1" x14ac:dyDescent="0.3"/>
    <row r="556" ht="15" hidden="1" customHeight="1" x14ac:dyDescent="0.3"/>
    <row r="557" ht="11.25" hidden="1" customHeight="1" x14ac:dyDescent="0.3"/>
    <row r="558" ht="11.25" hidden="1" customHeight="1" x14ac:dyDescent="0.3"/>
    <row r="559" ht="11.25" hidden="1" customHeight="1" x14ac:dyDescent="0.3"/>
    <row r="560" ht="11.25" hidden="1" customHeight="1" x14ac:dyDescent="0.3"/>
    <row r="561" ht="11.25" hidden="1" customHeight="1" x14ac:dyDescent="0.3"/>
    <row r="562" ht="11.25" hidden="1" customHeight="1" x14ac:dyDescent="0.3"/>
    <row r="563" ht="11.25" hidden="1" customHeight="1" x14ac:dyDescent="0.3"/>
    <row r="564" ht="11.25" hidden="1" customHeight="1" x14ac:dyDescent="0.3"/>
    <row r="565" ht="11.25" hidden="1" customHeight="1" x14ac:dyDescent="0.3"/>
    <row r="566" ht="11.25" hidden="1" customHeight="1" x14ac:dyDescent="0.3"/>
    <row r="567" ht="11.25" hidden="1" customHeight="1" x14ac:dyDescent="0.3"/>
    <row r="568" ht="11.25" hidden="1" customHeight="1" x14ac:dyDescent="0.3"/>
    <row r="569" ht="11.25" hidden="1" customHeight="1" x14ac:dyDescent="0.3"/>
    <row r="570" ht="11.25" hidden="1" customHeight="1" x14ac:dyDescent="0.3"/>
    <row r="571" ht="11.25" hidden="1" customHeight="1" x14ac:dyDescent="0.3"/>
    <row r="572" ht="11.25" hidden="1" customHeight="1" x14ac:dyDescent="0.3"/>
    <row r="573" ht="11.25" hidden="1" customHeight="1" x14ac:dyDescent="0.3"/>
    <row r="574" ht="11.25" hidden="1" customHeight="1" x14ac:dyDescent="0.3"/>
    <row r="575" ht="11.25" hidden="1" customHeight="1" x14ac:dyDescent="0.3"/>
    <row r="576" ht="11.25" hidden="1" customHeight="1" x14ac:dyDescent="0.3"/>
    <row r="577" ht="11.25" hidden="1" customHeight="1" x14ac:dyDescent="0.3"/>
    <row r="578" ht="11.25" hidden="1" customHeight="1" x14ac:dyDescent="0.3"/>
    <row r="579" ht="11.25" hidden="1" customHeight="1" x14ac:dyDescent="0.3"/>
    <row r="580" ht="11.25" hidden="1" customHeight="1" x14ac:dyDescent="0.3"/>
    <row r="581" ht="11.25" hidden="1" customHeight="1" x14ac:dyDescent="0.3"/>
    <row r="582" ht="11.25" hidden="1" customHeight="1" x14ac:dyDescent="0.3"/>
    <row r="583" ht="11.25" hidden="1" customHeight="1" x14ac:dyDescent="0.3"/>
    <row r="584" ht="11.25" hidden="1" customHeight="1" x14ac:dyDescent="0.3"/>
    <row r="585" ht="11.25" hidden="1" customHeight="1" x14ac:dyDescent="0.3"/>
    <row r="586" ht="11.25" hidden="1" customHeight="1" x14ac:dyDescent="0.3"/>
    <row r="587" ht="11.25" hidden="1" customHeight="1" x14ac:dyDescent="0.3"/>
    <row r="588" ht="11.25" hidden="1" customHeight="1" x14ac:dyDescent="0.3"/>
    <row r="589" ht="11.25" hidden="1" customHeight="1" x14ac:dyDescent="0.3"/>
    <row r="590" ht="11.25" hidden="1" customHeight="1" x14ac:dyDescent="0.3"/>
    <row r="591" ht="11.25" hidden="1" customHeight="1" x14ac:dyDescent="0.3"/>
    <row r="592" ht="11.25" hidden="1" customHeight="1" x14ac:dyDescent="0.3"/>
    <row r="593" ht="11.25" hidden="1" customHeight="1" x14ac:dyDescent="0.3"/>
    <row r="594" ht="11.25" hidden="1" customHeight="1" x14ac:dyDescent="0.3"/>
    <row r="595" ht="11.25" hidden="1" customHeight="1" x14ac:dyDescent="0.3"/>
    <row r="596" ht="11.25" hidden="1" customHeight="1" x14ac:dyDescent="0.3"/>
    <row r="597" ht="11.25" hidden="1" customHeight="1" x14ac:dyDescent="0.3"/>
    <row r="598" ht="11.25" hidden="1" customHeight="1" x14ac:dyDescent="0.3"/>
    <row r="599" ht="11.25" hidden="1" customHeight="1" x14ac:dyDescent="0.3"/>
    <row r="600" ht="11.25" hidden="1" customHeight="1" x14ac:dyDescent="0.3"/>
    <row r="601" ht="11.25" hidden="1" customHeight="1" x14ac:dyDescent="0.3"/>
    <row r="602" ht="11.25" hidden="1" customHeight="1" x14ac:dyDescent="0.3"/>
    <row r="603" ht="11.25" hidden="1" customHeight="1" x14ac:dyDescent="0.3"/>
    <row r="604" ht="11.25" hidden="1" customHeight="1" x14ac:dyDescent="0.3"/>
    <row r="605" ht="11.25" hidden="1" customHeight="1" x14ac:dyDescent="0.3"/>
    <row r="606" ht="11.25" hidden="1" customHeight="1" x14ac:dyDescent="0.3"/>
    <row r="607" ht="11.25" hidden="1" customHeight="1" x14ac:dyDescent="0.3"/>
    <row r="608" ht="11.25" hidden="1" customHeight="1" x14ac:dyDescent="0.3"/>
    <row r="609" ht="11.25" hidden="1" customHeight="1" x14ac:dyDescent="0.3"/>
    <row r="610" ht="11.25" hidden="1" customHeight="1" x14ac:dyDescent="0.3"/>
    <row r="611" ht="11.25" hidden="1" customHeight="1" x14ac:dyDescent="0.3"/>
    <row r="612" ht="11.25" hidden="1" customHeight="1" x14ac:dyDescent="0.3"/>
    <row r="613" ht="11.25" hidden="1" customHeight="1" x14ac:dyDescent="0.3"/>
    <row r="614" ht="11.25" hidden="1" customHeight="1" x14ac:dyDescent="0.3"/>
    <row r="615" ht="11.25" hidden="1" customHeight="1" x14ac:dyDescent="0.3"/>
    <row r="616" ht="11.25" hidden="1" customHeight="1" x14ac:dyDescent="0.3"/>
    <row r="617" ht="11.25" hidden="1" customHeight="1" x14ac:dyDescent="0.3"/>
    <row r="618" ht="11.25" hidden="1" customHeight="1" x14ac:dyDescent="0.3"/>
    <row r="619" ht="11.25" hidden="1" customHeight="1" x14ac:dyDescent="0.3"/>
    <row r="620" ht="11.25" hidden="1" customHeight="1" x14ac:dyDescent="0.3"/>
    <row r="621" ht="11.25" hidden="1" customHeight="1" x14ac:dyDescent="0.3"/>
    <row r="622" ht="11.25" hidden="1" customHeight="1" x14ac:dyDescent="0.3"/>
    <row r="623" ht="11.25" hidden="1" customHeight="1" x14ac:dyDescent="0.3"/>
    <row r="624" ht="11.25" hidden="1" customHeight="1" x14ac:dyDescent="0.3"/>
    <row r="625" ht="11.25" hidden="1" customHeight="1" x14ac:dyDescent="0.3"/>
    <row r="626" ht="11.25" hidden="1" customHeight="1" x14ac:dyDescent="0.3"/>
    <row r="627" ht="11.25" hidden="1" customHeight="1" x14ac:dyDescent="0.3"/>
    <row r="628" ht="11.25" hidden="1" customHeight="1" x14ac:dyDescent="0.3"/>
    <row r="629" ht="11.25" hidden="1" customHeight="1" x14ac:dyDescent="0.3"/>
    <row r="630" ht="11.25" hidden="1" customHeight="1" x14ac:dyDescent="0.3"/>
    <row r="631" ht="11.25" hidden="1" customHeight="1" x14ac:dyDescent="0.3"/>
    <row r="632" ht="11.25" hidden="1" customHeight="1" x14ac:dyDescent="0.3"/>
    <row r="633" ht="11.25" hidden="1" customHeight="1" x14ac:dyDescent="0.3"/>
    <row r="634" ht="11.25" hidden="1" customHeight="1" x14ac:dyDescent="0.3"/>
    <row r="635" ht="11.25" hidden="1" customHeight="1" x14ac:dyDescent="0.3"/>
    <row r="636" ht="11.25" hidden="1" customHeight="1" x14ac:dyDescent="0.3"/>
    <row r="637" ht="11.25" hidden="1" customHeight="1" x14ac:dyDescent="0.3"/>
    <row r="638" ht="11.25" hidden="1" customHeight="1" x14ac:dyDescent="0.3"/>
    <row r="639" ht="11.25" hidden="1" customHeight="1" x14ac:dyDescent="0.3"/>
    <row r="640" ht="11.25" hidden="1" customHeight="1" x14ac:dyDescent="0.3"/>
    <row r="641" ht="11.25" hidden="1" customHeight="1" x14ac:dyDescent="0.3"/>
    <row r="642" ht="11.25" hidden="1" customHeight="1" x14ac:dyDescent="0.3"/>
    <row r="643" ht="11.25" hidden="1" customHeight="1" x14ac:dyDescent="0.3"/>
    <row r="644" ht="11.25" hidden="1" customHeight="1" x14ac:dyDescent="0.3"/>
    <row r="645" ht="11.25" hidden="1" customHeight="1" x14ac:dyDescent="0.3"/>
    <row r="646" ht="11.25" hidden="1" customHeight="1" x14ac:dyDescent="0.3"/>
    <row r="647" ht="11.25" hidden="1" customHeight="1" x14ac:dyDescent="0.3"/>
    <row r="648" ht="11.25" hidden="1" customHeight="1" x14ac:dyDescent="0.3"/>
    <row r="649" ht="11.25" hidden="1" customHeight="1" x14ac:dyDescent="0.3"/>
    <row r="650" ht="11.25" hidden="1" customHeight="1" x14ac:dyDescent="0.3"/>
    <row r="651" ht="11.25" hidden="1" customHeight="1" x14ac:dyDescent="0.3"/>
    <row r="654" ht="11.25" hidden="1" customHeight="1" x14ac:dyDescent="0.3"/>
    <row r="655" ht="11.25" hidden="1" customHeight="1" x14ac:dyDescent="0.3"/>
    <row r="656" ht="11.25" hidden="1" customHeight="1" x14ac:dyDescent="0.3"/>
    <row r="657" ht="11.25" hidden="1" customHeight="1" x14ac:dyDescent="0.3"/>
    <row r="658" ht="12.75" hidden="1" customHeight="1" x14ac:dyDescent="0.3"/>
    <row r="659" ht="15" hidden="1" customHeight="1" x14ac:dyDescent="0.3"/>
    <row r="660" ht="11.25" hidden="1" customHeight="1" x14ac:dyDescent="0.3"/>
    <row r="661" ht="11.25" hidden="1" customHeight="1" x14ac:dyDescent="0.3"/>
    <row r="662" ht="11.25" hidden="1" customHeight="1" x14ac:dyDescent="0.3"/>
    <row r="663" ht="11.25" hidden="1" customHeight="1" x14ac:dyDescent="0.3"/>
    <row r="664" ht="11.25" hidden="1" customHeight="1" x14ac:dyDescent="0.3"/>
    <row r="665" ht="11.25" hidden="1" customHeight="1" x14ac:dyDescent="0.3"/>
    <row r="666" ht="11.25" hidden="1" customHeight="1" x14ac:dyDescent="0.3"/>
    <row r="667" ht="11.25" hidden="1" customHeight="1" x14ac:dyDescent="0.3"/>
    <row r="668" ht="11.25" hidden="1" customHeight="1" x14ac:dyDescent="0.3"/>
    <row r="669" ht="11.25" hidden="1" customHeight="1" x14ac:dyDescent="0.3"/>
    <row r="670" ht="11.25" hidden="1" customHeight="1" x14ac:dyDescent="0.3"/>
    <row r="671" ht="11.25" hidden="1" customHeight="1" x14ac:dyDescent="0.3"/>
    <row r="672" ht="11.25" hidden="1" customHeight="1" x14ac:dyDescent="0.3"/>
    <row r="673" ht="11.25" hidden="1" customHeight="1" x14ac:dyDescent="0.3"/>
    <row r="674" ht="11.25" hidden="1" customHeight="1" x14ac:dyDescent="0.3"/>
    <row r="675" ht="11.25" hidden="1" customHeight="1" x14ac:dyDescent="0.3"/>
    <row r="676" ht="11.25" hidden="1" customHeight="1" x14ac:dyDescent="0.3"/>
    <row r="677" ht="11.25" hidden="1" customHeight="1" x14ac:dyDescent="0.3"/>
    <row r="678" ht="11.25" hidden="1" customHeight="1" x14ac:dyDescent="0.3"/>
    <row r="679" ht="11.25" hidden="1" customHeight="1" x14ac:dyDescent="0.3"/>
    <row r="680" ht="11.25" hidden="1" customHeight="1" x14ac:dyDescent="0.3"/>
    <row r="681" ht="11.25" hidden="1" customHeight="1" x14ac:dyDescent="0.3"/>
    <row r="682" ht="11.25" hidden="1" customHeight="1" x14ac:dyDescent="0.3"/>
    <row r="683" ht="11.25" hidden="1" customHeight="1" x14ac:dyDescent="0.3"/>
    <row r="684" ht="11.25" hidden="1" customHeight="1" x14ac:dyDescent="0.3"/>
    <row r="685" ht="11.25" hidden="1" customHeight="1" x14ac:dyDescent="0.3"/>
    <row r="686" ht="11.25" hidden="1" customHeight="1" x14ac:dyDescent="0.3"/>
    <row r="687" ht="11.25" hidden="1" customHeight="1" x14ac:dyDescent="0.3"/>
    <row r="688" ht="11.25" hidden="1" customHeight="1" x14ac:dyDescent="0.3"/>
    <row r="689" ht="11.25" hidden="1" customHeight="1" x14ac:dyDescent="0.3"/>
    <row r="690" ht="11.25" hidden="1" customHeight="1" x14ac:dyDescent="0.3"/>
    <row r="691" ht="11.25" hidden="1" customHeight="1" x14ac:dyDescent="0.3"/>
    <row r="692" ht="11.25" hidden="1" customHeight="1" x14ac:dyDescent="0.3"/>
    <row r="693" ht="11.25" hidden="1" customHeight="1" x14ac:dyDescent="0.3"/>
    <row r="694" ht="11.25" hidden="1" customHeight="1" x14ac:dyDescent="0.3"/>
    <row r="695" ht="11.25" hidden="1" customHeight="1" x14ac:dyDescent="0.3"/>
    <row r="696" ht="11.25" hidden="1" customHeight="1" x14ac:dyDescent="0.3"/>
    <row r="697" ht="11.25" hidden="1" customHeight="1" x14ac:dyDescent="0.3"/>
    <row r="698" ht="11.25" hidden="1" customHeight="1" x14ac:dyDescent="0.3"/>
    <row r="699" ht="11.25" hidden="1" customHeight="1" x14ac:dyDescent="0.3"/>
    <row r="700" ht="11.25" hidden="1" customHeight="1" x14ac:dyDescent="0.3"/>
    <row r="701" ht="11.25" hidden="1" customHeight="1" x14ac:dyDescent="0.3"/>
    <row r="702" ht="11.25" hidden="1" customHeight="1" x14ac:dyDescent="0.3"/>
    <row r="703" ht="11.25" hidden="1" customHeight="1" x14ac:dyDescent="0.3"/>
    <row r="704" ht="11.25" hidden="1" customHeight="1" x14ac:dyDescent="0.3"/>
    <row r="705" ht="11.25" hidden="1" customHeight="1" x14ac:dyDescent="0.3"/>
    <row r="706" ht="11.25" hidden="1" customHeight="1" x14ac:dyDescent="0.3"/>
    <row r="707" ht="11.25" hidden="1" customHeight="1" x14ac:dyDescent="0.3"/>
    <row r="708" ht="11.25" hidden="1" customHeight="1" x14ac:dyDescent="0.3"/>
    <row r="709" ht="11.25" hidden="1" customHeight="1" x14ac:dyDescent="0.3"/>
    <row r="710" ht="11.25" hidden="1" customHeight="1" x14ac:dyDescent="0.3"/>
    <row r="711" ht="11.25" hidden="1" customHeight="1" x14ac:dyDescent="0.3"/>
    <row r="712" ht="11.25" hidden="1" customHeight="1" x14ac:dyDescent="0.3"/>
    <row r="713" ht="11.25" hidden="1" customHeight="1" x14ac:dyDescent="0.3"/>
    <row r="714" ht="11.25" hidden="1" customHeight="1" x14ac:dyDescent="0.3"/>
    <row r="715" ht="11.25" hidden="1" customHeight="1" x14ac:dyDescent="0.3"/>
    <row r="716" ht="11.25" hidden="1" customHeight="1" x14ac:dyDescent="0.3"/>
    <row r="717" ht="11.25" hidden="1" customHeight="1" x14ac:dyDescent="0.3"/>
    <row r="718" ht="11.25" hidden="1" customHeight="1" x14ac:dyDescent="0.3"/>
    <row r="719" ht="11.25" hidden="1" customHeight="1" x14ac:dyDescent="0.3"/>
    <row r="720" ht="11.25" hidden="1" customHeight="1" x14ac:dyDescent="0.3"/>
    <row r="721" ht="11.25" hidden="1" customHeight="1" x14ac:dyDescent="0.3"/>
    <row r="722" ht="11.25" hidden="1" customHeight="1" x14ac:dyDescent="0.3"/>
    <row r="723" ht="11.25" hidden="1" customHeight="1" x14ac:dyDescent="0.3"/>
    <row r="724" ht="11.25" hidden="1" customHeight="1" x14ac:dyDescent="0.3"/>
    <row r="725" ht="11.25" hidden="1" customHeight="1" x14ac:dyDescent="0.3"/>
    <row r="726" ht="11.25" hidden="1" customHeight="1" x14ac:dyDescent="0.3"/>
    <row r="727" ht="11.25" hidden="1" customHeight="1" x14ac:dyDescent="0.3"/>
    <row r="728" ht="11.25" hidden="1" customHeight="1" x14ac:dyDescent="0.3"/>
    <row r="729" ht="11.25" hidden="1" customHeight="1" x14ac:dyDescent="0.3"/>
    <row r="730" ht="11.25" hidden="1" customHeight="1" x14ac:dyDescent="0.3"/>
    <row r="731" ht="11.25" hidden="1" customHeight="1" x14ac:dyDescent="0.3"/>
    <row r="732" ht="11.25" hidden="1" customHeight="1" x14ac:dyDescent="0.3"/>
    <row r="733" ht="11.25" hidden="1" customHeight="1" x14ac:dyDescent="0.3"/>
    <row r="734" ht="11.25" hidden="1" customHeight="1" x14ac:dyDescent="0.3"/>
    <row r="735" ht="11.25" hidden="1" customHeight="1" x14ac:dyDescent="0.3"/>
    <row r="736" ht="11.25" hidden="1" customHeight="1" x14ac:dyDescent="0.3"/>
    <row r="737" ht="11.25" hidden="1" customHeight="1" x14ac:dyDescent="0.3"/>
    <row r="738" ht="11.25" hidden="1" customHeight="1" x14ac:dyDescent="0.3"/>
    <row r="739" ht="11.25" hidden="1" customHeight="1" x14ac:dyDescent="0.3"/>
    <row r="740" ht="11.25" hidden="1" customHeight="1" x14ac:dyDescent="0.3"/>
    <row r="741" ht="11.25" hidden="1" customHeight="1" x14ac:dyDescent="0.3"/>
    <row r="742" ht="11.25" hidden="1" customHeight="1" x14ac:dyDescent="0.3"/>
    <row r="743" ht="11.25" hidden="1" customHeight="1" x14ac:dyDescent="0.3"/>
    <row r="744" ht="11.25" hidden="1" customHeight="1" x14ac:dyDescent="0.3"/>
    <row r="745" ht="11.25" hidden="1" customHeight="1" x14ac:dyDescent="0.3"/>
    <row r="746" ht="11.25" hidden="1" customHeight="1" x14ac:dyDescent="0.3"/>
    <row r="747" ht="11.25" hidden="1" customHeight="1" x14ac:dyDescent="0.3"/>
    <row r="748" ht="11.25" hidden="1" customHeight="1" x14ac:dyDescent="0.3"/>
    <row r="749" ht="11.25" hidden="1" customHeight="1" x14ac:dyDescent="0.3"/>
    <row r="750" ht="11.25" hidden="1" customHeight="1" x14ac:dyDescent="0.3"/>
    <row r="751" ht="11.25" hidden="1" customHeight="1" x14ac:dyDescent="0.3"/>
    <row r="752" ht="11.25" hidden="1" customHeight="1" x14ac:dyDescent="0.3"/>
    <row r="753" ht="11.25" hidden="1" customHeight="1" x14ac:dyDescent="0.3"/>
    <row r="754" ht="11.25" hidden="1" customHeight="1" x14ac:dyDescent="0.3"/>
    <row r="755" ht="11.25" hidden="1" customHeight="1" x14ac:dyDescent="0.3"/>
    <row r="756" ht="11.25" hidden="1" customHeight="1" x14ac:dyDescent="0.3"/>
    <row r="757" ht="11.25" hidden="1" customHeight="1" x14ac:dyDescent="0.3"/>
    <row r="758" ht="11.25" hidden="1" customHeight="1" x14ac:dyDescent="0.3"/>
    <row r="759" ht="11.25" hidden="1" customHeight="1" x14ac:dyDescent="0.3"/>
    <row r="760" ht="12.75" hidden="1" customHeight="1" x14ac:dyDescent="0.3"/>
    <row r="761" ht="12.75" hidden="1" customHeight="1" x14ac:dyDescent="0.3"/>
  </sheetData>
  <sheetProtection algorithmName="SHA-512" hashValue="66qq8atOCaLVoq0LBAcLi6NMLcss/OuczRGlVwfXhgoiiyGihNM+vzfw/xjnlw6lDWfaarZU5tDoyYvMK8GSbg==" saltValue="ahxN0odnSq3v3biJsaMFgQ==" spinCount="100000" sheet="1" insertRows="0"/>
  <dataConsolidate/>
  <mergeCells count="18">
    <mergeCell ref="A129:H129"/>
    <mergeCell ref="A51:H51"/>
    <mergeCell ref="A99:F99"/>
    <mergeCell ref="A120:H120"/>
    <mergeCell ref="A17:H17"/>
    <mergeCell ref="C2:D2"/>
    <mergeCell ref="B19:H19"/>
    <mergeCell ref="A18:E18"/>
    <mergeCell ref="A100:H100"/>
    <mergeCell ref="I1:I2"/>
    <mergeCell ref="A1:H1"/>
    <mergeCell ref="A80:H80"/>
    <mergeCell ref="A6:F6"/>
    <mergeCell ref="B3:H3"/>
    <mergeCell ref="B5:H5"/>
    <mergeCell ref="E2:H2"/>
    <mergeCell ref="A16:F16"/>
    <mergeCell ref="A21:H21"/>
  </mergeCells>
  <phoneticPr fontId="24" type="noConversion"/>
  <conditionalFormatting sqref="A24:A33">
    <cfRule type="expression" dxfId="7" priority="24">
      <formula>LEN(I24)&gt;0</formula>
    </cfRule>
  </conditionalFormatting>
  <conditionalFormatting sqref="B24:B33">
    <cfRule type="expression" dxfId="5" priority="6">
      <formula>F24=pers_int_listname</formula>
    </cfRule>
  </conditionalFormatting>
  <conditionalFormatting sqref="B19:H19">
    <cfRule type="expression" dxfId="4" priority="1">
      <formula>$H$18</formula>
    </cfRule>
  </conditionalFormatting>
  <conditionalFormatting sqref="C2:D2">
    <cfRule type="expression" dxfId="3" priority="9">
      <formula>AND(Total_NWO_funding&gt;0,Main_applicant="")</formula>
    </cfRule>
  </conditionalFormatting>
  <conditionalFormatting sqref="D24:D33">
    <cfRule type="expression" dxfId="2" priority="23">
      <formula>D24&gt;Max_project_duration</formula>
    </cfRule>
  </conditionalFormatting>
  <conditionalFormatting sqref="H24:H33">
    <cfRule type="cellIs" dxfId="0" priority="20" operator="equal">
      <formula>0</formula>
    </cfRule>
  </conditionalFormatting>
  <dataValidations count="13">
    <dataValidation type="list" allowBlank="1" showInputMessage="1" showErrorMessage="1" sqref="F103:F117 F82:F96 F53:F77 F122:F126" xr:uid="{00000000-0002-0000-0100-000001000000}">
      <formula1>list_ac_other_combined</formula1>
    </dataValidation>
    <dataValidation type="list" allowBlank="1" showInputMessage="1" showErrorMessage="1" sqref="F145:F154 F132:F141" xr:uid="{00000000-0002-0000-0100-000002000000}">
      <formula1>list_kind_cash_cofunding</formula1>
    </dataValidation>
    <dataValidation type="date" allowBlank="1" showInputMessage="1" showErrorMessage="1" errorTitle="Invalid entry" error="Please provide a valid date (dd/mm/yy)" sqref="B2" xr:uid="{00000000-0002-0000-0100-00000A000000}">
      <formula1>43831</formula1>
      <formula2>73415</formula2>
    </dataValidation>
    <dataValidation type="decimal" allowBlank="1" showInputMessage="1" showErrorMessage="1" errorTitle="Invalid entry" error="Provide a numerical value." sqref="H82:H96 H103:H117 H145:H154 H53:H77 D132:E141 H122:H126" xr:uid="{00000000-0002-0000-0100-000014000000}">
      <formula1>0</formula1>
      <formula2>999999999</formula2>
    </dataValidation>
    <dataValidation type="decimal" allowBlank="1" showInputMessage="1" showErrorMessage="1" errorTitle="Invalid entry" error="Please provide a valid, decimal, number, max 1 FTE" sqref="C24 C26:C33" xr:uid="{00000000-0002-0000-0100-00000D000000}">
      <formula1>0</formula1>
      <formula2>1</formula2>
    </dataValidation>
    <dataValidation type="list" allowBlank="1" showInputMessage="1" showErrorMessage="1" sqref="A24:A33" xr:uid="{00000000-0002-0000-0100-000013000000}">
      <formula1>INDIRECT("salaries_academic[category]")</formula1>
    </dataValidation>
    <dataValidation type="list" allowBlank="1" showInputMessage="1" showErrorMessage="1" sqref="F24:F33" xr:uid="{00000000-0002-0000-0100-000003000000}">
      <formula1>list_academic_personnel</formula1>
    </dataValidation>
    <dataValidation errorStyle="warning" allowBlank="1" showInputMessage="1" showErrorMessage="1" sqref="A38:A47" xr:uid="{00000000-0002-0000-0100-000000000000}"/>
    <dataValidation type="whole" allowBlank="1" showInputMessage="1" showErrorMessage="1" errorTitle="Invalid entry" error="Please enter nr of benchfee (max 1 per position)" sqref="D38:D47" xr:uid="{00000000-0002-0000-0100-00000E000000}">
      <formula1>0</formula1>
      <formula2>1</formula2>
    </dataValidation>
    <dataValidation allowBlank="1" showInputMessage="1" showErrorMessage="1" errorTitle="Invalid entry" error="Please enter the requested number of positions for which a bench fee is requested (round number &gt;0)" sqref="E38:F47" xr:uid="{00000000-0002-0000-0100-00000F000000}"/>
    <dataValidation type="decimal" allowBlank="1" showErrorMessage="1" errorTitle="Invalid entry" error="Please provide a valid, decimal, number, max 1 FTE" sqref="C25" xr:uid="{EC272C62-3949-46EE-A2AC-95AE78E2C72C}">
      <formula1>0</formula1>
      <formula2>1</formula2>
    </dataValidation>
    <dataValidation type="list" allowBlank="1" showInputMessage="1" showErrorMessage="1" errorTitle="Invalid entry" error="Please select item from the list." sqref="B132:B141" xr:uid="{00000000-0002-0000-0100-000016000000}">
      <formula1>"Personnel,Materials"</formula1>
    </dataValidation>
    <dataValidation allowBlank="1" showInputMessage="1" showErrorMessage="1" errorTitle="Invalid entry" error="Select item from the list." sqref="C132:C141" xr:uid="{00000000-0002-0000-0100-000017000000}"/>
  </dataValidations>
  <printOptions headings="1"/>
  <pageMargins left="0.19685039370078741" right="0.19685039370078741" top="0.19685039370078741" bottom="0.19685039370078741" header="0.19685039370078741" footer="0.19685039370078741"/>
  <pageSetup paperSize="9" scale="50" fitToHeight="0" orientation="portrait" r:id="rId1"/>
  <ignoredErrors>
    <ignoredError sqref="H103:H117" calculatedColumn="1"/>
  </ignoredErrors>
  <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expression" priority="77" id="{16921314-A9A2-40EE-884D-5824A1415A49}">
            <xm:f>COUNTIF($F$25:$F$34,parameters!$B$34)=0</xm:f>
            <x14:dxf>
              <font>
                <color theme="0"/>
              </font>
            </x14:dxf>
          </x14:cfRule>
          <xm:sqref>B23</xm:sqref>
        </x14:conditionalFormatting>
        <x14:conditionalFormatting xmlns:xm="http://schemas.microsoft.com/office/excel/2006/main">
          <x14:cfRule type="expression" priority="81" id="{D137BD43-E2FB-4023-9FCF-CF69E09D0726}">
            <xm:f>_xlfn.IFNA(FIND("costs",VLOOKUP(A24,parameters!$A$82:$B$89,2,FALSE),1),0)&gt;0</xm:f>
            <x14:dxf>
              <fill>
                <patternFill>
                  <bgColor rgb="FFCBDEDF"/>
                </patternFill>
              </fill>
            </x14:dxf>
          </x14:cfRule>
          <xm:sqref>E24:E33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5A9B2B4-4EE4-406B-BC09-C4FB8D024876}">
          <x14:formula1>
            <xm:f>checks!$A$335:$A$336</xm:f>
          </x14:formula1>
          <xm:sqref>H18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B3291-8C0E-400E-873E-A69EB8D53352}">
  <sheetPr codeName="Blad2"/>
  <dimension ref="B4:AB163"/>
  <sheetViews>
    <sheetView workbookViewId="0">
      <selection activeCell="N33" sqref="N33:AA69"/>
    </sheetView>
  </sheetViews>
  <sheetFormatPr defaultRowHeight="14.4" x14ac:dyDescent="0.3"/>
  <sheetData>
    <row r="4" spans="2:27" ht="15" customHeight="1" x14ac:dyDescent="0.3">
      <c r="B4" s="385" t="s">
        <v>864</v>
      </c>
      <c r="C4" s="385"/>
      <c r="D4" s="385"/>
      <c r="E4" s="385"/>
      <c r="F4" s="385"/>
      <c r="G4" s="385"/>
      <c r="H4" s="385"/>
      <c r="I4" s="385"/>
      <c r="J4" s="385"/>
      <c r="K4" s="385"/>
      <c r="L4" s="385"/>
      <c r="N4" s="384" t="s">
        <v>855</v>
      </c>
      <c r="O4" s="384"/>
      <c r="P4" s="384"/>
      <c r="Q4" s="384"/>
      <c r="R4" s="384"/>
      <c r="S4" s="384"/>
      <c r="T4" s="384"/>
      <c r="U4" s="384"/>
      <c r="V4" s="384"/>
      <c r="W4" s="384"/>
      <c r="X4" s="384"/>
      <c r="Y4" s="384"/>
      <c r="Z4" s="384"/>
      <c r="AA4" s="384"/>
    </row>
    <row r="5" spans="2:27" ht="15" customHeight="1" x14ac:dyDescent="0.3">
      <c r="B5" s="385"/>
      <c r="C5" s="385"/>
      <c r="D5" s="385"/>
      <c r="E5" s="385"/>
      <c r="F5" s="385"/>
      <c r="G5" s="385"/>
      <c r="H5" s="385"/>
      <c r="I5" s="385"/>
      <c r="J5" s="385"/>
      <c r="K5" s="385"/>
      <c r="L5" s="385"/>
      <c r="N5" s="384"/>
      <c r="O5" s="384"/>
      <c r="P5" s="384"/>
      <c r="Q5" s="384"/>
      <c r="R5" s="384"/>
      <c r="S5" s="384"/>
      <c r="T5" s="384"/>
      <c r="U5" s="384"/>
      <c r="V5" s="384"/>
      <c r="W5" s="384"/>
      <c r="X5" s="384"/>
      <c r="Y5" s="384"/>
      <c r="Z5" s="384"/>
      <c r="AA5" s="384"/>
    </row>
    <row r="6" spans="2:27" ht="15" customHeight="1" x14ac:dyDescent="0.3">
      <c r="B6" s="385"/>
      <c r="C6" s="385"/>
      <c r="D6" s="385"/>
      <c r="E6" s="385"/>
      <c r="F6" s="385"/>
      <c r="G6" s="385"/>
      <c r="H6" s="385"/>
      <c r="I6" s="385"/>
      <c r="J6" s="385"/>
      <c r="K6" s="385"/>
      <c r="L6" s="385"/>
      <c r="N6" s="384"/>
      <c r="O6" s="384"/>
      <c r="P6" s="384"/>
      <c r="Q6" s="384"/>
      <c r="R6" s="384"/>
      <c r="S6" s="384"/>
      <c r="T6" s="384"/>
      <c r="U6" s="384"/>
      <c r="V6" s="384"/>
      <c r="W6" s="384"/>
      <c r="X6" s="384"/>
      <c r="Y6" s="384"/>
      <c r="Z6" s="384"/>
      <c r="AA6" s="384"/>
    </row>
    <row r="7" spans="2:27" ht="15" customHeight="1" x14ac:dyDescent="0.3">
      <c r="B7" s="385"/>
      <c r="C7" s="385"/>
      <c r="D7" s="385"/>
      <c r="E7" s="385"/>
      <c r="F7" s="385"/>
      <c r="G7" s="385"/>
      <c r="H7" s="385"/>
      <c r="I7" s="385"/>
      <c r="J7" s="385"/>
      <c r="K7" s="385"/>
      <c r="L7" s="385"/>
      <c r="N7" s="384"/>
      <c r="O7" s="384"/>
      <c r="P7" s="384"/>
      <c r="Q7" s="384"/>
      <c r="R7" s="384"/>
      <c r="S7" s="384"/>
      <c r="T7" s="384"/>
      <c r="U7" s="384"/>
      <c r="V7" s="384"/>
      <c r="W7" s="384"/>
      <c r="X7" s="384"/>
      <c r="Y7" s="384"/>
      <c r="Z7" s="384"/>
      <c r="AA7" s="384"/>
    </row>
    <row r="8" spans="2:27" ht="15" customHeight="1" x14ac:dyDescent="0.3">
      <c r="B8" s="385"/>
      <c r="C8" s="385"/>
      <c r="D8" s="385"/>
      <c r="E8" s="385"/>
      <c r="F8" s="385"/>
      <c r="G8" s="385"/>
      <c r="H8" s="385"/>
      <c r="I8" s="385"/>
      <c r="J8" s="385"/>
      <c r="K8" s="385"/>
      <c r="L8" s="385"/>
      <c r="N8" s="384"/>
      <c r="O8" s="384"/>
      <c r="P8" s="384"/>
      <c r="Q8" s="384"/>
      <c r="R8" s="384"/>
      <c r="S8" s="384"/>
      <c r="T8" s="384"/>
      <c r="U8" s="384"/>
      <c r="V8" s="384"/>
      <c r="W8" s="384"/>
      <c r="X8" s="384"/>
      <c r="Y8" s="384"/>
      <c r="Z8" s="384"/>
      <c r="AA8" s="384"/>
    </row>
    <row r="9" spans="2:27" ht="15" customHeight="1" x14ac:dyDescent="0.3">
      <c r="B9" s="385"/>
      <c r="C9" s="385"/>
      <c r="D9" s="385"/>
      <c r="E9" s="385"/>
      <c r="F9" s="385"/>
      <c r="G9" s="385"/>
      <c r="H9" s="385"/>
      <c r="I9" s="385"/>
      <c r="J9" s="385"/>
      <c r="K9" s="385"/>
      <c r="L9" s="385"/>
      <c r="N9" s="384"/>
      <c r="O9" s="384"/>
      <c r="P9" s="384"/>
      <c r="Q9" s="384"/>
      <c r="R9" s="384"/>
      <c r="S9" s="384"/>
      <c r="T9" s="384"/>
      <c r="U9" s="384"/>
      <c r="V9" s="384"/>
      <c r="W9" s="384"/>
      <c r="X9" s="384"/>
      <c r="Y9" s="384"/>
      <c r="Z9" s="384"/>
      <c r="AA9" s="384"/>
    </row>
    <row r="10" spans="2:27" ht="15" customHeight="1" x14ac:dyDescent="0.3">
      <c r="B10" s="385"/>
      <c r="C10" s="385"/>
      <c r="D10" s="385"/>
      <c r="E10" s="385"/>
      <c r="F10" s="385"/>
      <c r="G10" s="385"/>
      <c r="H10" s="385"/>
      <c r="I10" s="385"/>
      <c r="J10" s="385"/>
      <c r="K10" s="385"/>
      <c r="L10" s="385"/>
      <c r="N10" s="384"/>
      <c r="O10" s="384"/>
      <c r="P10" s="384"/>
      <c r="Q10" s="384"/>
      <c r="R10" s="384"/>
      <c r="S10" s="384"/>
      <c r="T10" s="384"/>
      <c r="U10" s="384"/>
      <c r="V10" s="384"/>
      <c r="W10" s="384"/>
      <c r="X10" s="384"/>
      <c r="Y10" s="384"/>
      <c r="Z10" s="384"/>
      <c r="AA10" s="384"/>
    </row>
    <row r="11" spans="2:27" ht="15" customHeight="1" x14ac:dyDescent="0.3">
      <c r="B11" s="385"/>
      <c r="C11" s="385"/>
      <c r="D11" s="385"/>
      <c r="E11" s="385"/>
      <c r="F11" s="385"/>
      <c r="G11" s="385"/>
      <c r="H11" s="385"/>
      <c r="I11" s="385"/>
      <c r="J11" s="385"/>
      <c r="K11" s="385"/>
      <c r="L11" s="385"/>
      <c r="N11" s="384"/>
      <c r="O11" s="384"/>
      <c r="P11" s="384"/>
      <c r="Q11" s="384"/>
      <c r="R11" s="384"/>
      <c r="S11" s="384"/>
      <c r="T11" s="384"/>
      <c r="U11" s="384"/>
      <c r="V11" s="384"/>
      <c r="W11" s="384"/>
      <c r="X11" s="384"/>
      <c r="Y11" s="384"/>
      <c r="Z11" s="384"/>
      <c r="AA11" s="384"/>
    </row>
    <row r="12" spans="2:27" ht="15" customHeight="1" x14ac:dyDescent="0.3">
      <c r="B12" s="385"/>
      <c r="C12" s="385"/>
      <c r="D12" s="385"/>
      <c r="E12" s="385"/>
      <c r="F12" s="385"/>
      <c r="G12" s="385"/>
      <c r="H12" s="385"/>
      <c r="I12" s="385"/>
      <c r="J12" s="385"/>
      <c r="K12" s="385"/>
      <c r="L12" s="385"/>
      <c r="N12" s="384"/>
      <c r="O12" s="384"/>
      <c r="P12" s="384"/>
      <c r="Q12" s="384"/>
      <c r="R12" s="384"/>
      <c r="S12" s="384"/>
      <c r="T12" s="384"/>
      <c r="U12" s="384"/>
      <c r="V12" s="384"/>
      <c r="W12" s="384"/>
      <c r="X12" s="384"/>
      <c r="Y12" s="384"/>
      <c r="Z12" s="384"/>
      <c r="AA12" s="384"/>
    </row>
    <row r="13" spans="2:27" ht="15" customHeight="1" x14ac:dyDescent="0.3">
      <c r="B13" s="385"/>
      <c r="C13" s="385"/>
      <c r="D13" s="385"/>
      <c r="E13" s="385"/>
      <c r="F13" s="385"/>
      <c r="G13" s="385"/>
      <c r="H13" s="385"/>
      <c r="I13" s="385"/>
      <c r="J13" s="385"/>
      <c r="K13" s="385"/>
      <c r="L13" s="385"/>
      <c r="N13" s="384"/>
      <c r="O13" s="384"/>
      <c r="P13" s="384"/>
      <c r="Q13" s="384"/>
      <c r="R13" s="384"/>
      <c r="S13" s="384"/>
      <c r="T13" s="384"/>
      <c r="U13" s="384"/>
      <c r="V13" s="384"/>
      <c r="W13" s="384"/>
      <c r="X13" s="384"/>
      <c r="Y13" s="384"/>
      <c r="Z13" s="384"/>
      <c r="AA13" s="384"/>
    </row>
    <row r="14" spans="2:27" ht="15" customHeight="1" x14ac:dyDescent="0.3">
      <c r="B14" s="385"/>
      <c r="C14" s="385"/>
      <c r="D14" s="385"/>
      <c r="E14" s="385"/>
      <c r="F14" s="385"/>
      <c r="G14" s="385"/>
      <c r="H14" s="385"/>
      <c r="I14" s="385"/>
      <c r="J14" s="385"/>
      <c r="K14" s="385"/>
      <c r="L14" s="385"/>
      <c r="N14" s="384"/>
      <c r="O14" s="384"/>
      <c r="P14" s="384"/>
      <c r="Q14" s="384"/>
      <c r="R14" s="384"/>
      <c r="S14" s="384"/>
      <c r="T14" s="384"/>
      <c r="U14" s="384"/>
      <c r="V14" s="384"/>
      <c r="W14" s="384"/>
      <c r="X14" s="384"/>
      <c r="Y14" s="384"/>
      <c r="Z14" s="384"/>
      <c r="AA14" s="384"/>
    </row>
    <row r="15" spans="2:27" ht="15" customHeight="1" x14ac:dyDescent="0.3">
      <c r="B15" s="385"/>
      <c r="C15" s="385"/>
      <c r="D15" s="385"/>
      <c r="E15" s="385"/>
      <c r="F15" s="385"/>
      <c r="G15" s="385"/>
      <c r="H15" s="385"/>
      <c r="I15" s="385"/>
      <c r="J15" s="385"/>
      <c r="K15" s="385"/>
      <c r="L15" s="385"/>
      <c r="N15" s="384"/>
      <c r="O15" s="384"/>
      <c r="P15" s="384"/>
      <c r="Q15" s="384"/>
      <c r="R15" s="384"/>
      <c r="S15" s="384"/>
      <c r="T15" s="384"/>
      <c r="U15" s="384"/>
      <c r="V15" s="384"/>
      <c r="W15" s="384"/>
      <c r="X15" s="384"/>
      <c r="Y15" s="384"/>
      <c r="Z15" s="384"/>
      <c r="AA15" s="384"/>
    </row>
    <row r="16" spans="2:27" ht="15" customHeight="1" x14ac:dyDescent="0.3">
      <c r="B16" s="385"/>
      <c r="C16" s="385"/>
      <c r="D16" s="385"/>
      <c r="E16" s="385"/>
      <c r="F16" s="385"/>
      <c r="G16" s="385"/>
      <c r="H16" s="385"/>
      <c r="I16" s="385"/>
      <c r="J16" s="385"/>
      <c r="K16" s="385"/>
      <c r="L16" s="385"/>
      <c r="N16" s="384"/>
      <c r="O16" s="384"/>
      <c r="P16" s="384"/>
      <c r="Q16" s="384"/>
      <c r="R16" s="384"/>
      <c r="S16" s="384"/>
      <c r="T16" s="384"/>
      <c r="U16" s="384"/>
      <c r="V16" s="384"/>
      <c r="W16" s="384"/>
      <c r="X16" s="384"/>
      <c r="Y16" s="384"/>
      <c r="Z16" s="384"/>
      <c r="AA16" s="384"/>
    </row>
    <row r="17" spans="2:27" ht="15" customHeight="1" x14ac:dyDescent="0.3">
      <c r="B17" s="385"/>
      <c r="C17" s="385"/>
      <c r="D17" s="385"/>
      <c r="E17" s="385"/>
      <c r="F17" s="385"/>
      <c r="G17" s="385"/>
      <c r="H17" s="385"/>
      <c r="I17" s="385"/>
      <c r="J17" s="385"/>
      <c r="K17" s="385"/>
      <c r="L17" s="385"/>
      <c r="N17" s="384"/>
      <c r="O17" s="384"/>
      <c r="P17" s="384"/>
      <c r="Q17" s="384"/>
      <c r="R17" s="384"/>
      <c r="S17" s="384"/>
      <c r="T17" s="384"/>
      <c r="U17" s="384"/>
      <c r="V17" s="384"/>
      <c r="W17" s="384"/>
      <c r="X17" s="384"/>
      <c r="Y17" s="384"/>
      <c r="Z17" s="384"/>
      <c r="AA17" s="384"/>
    </row>
    <row r="18" spans="2:27" ht="15" customHeight="1" x14ac:dyDescent="0.3">
      <c r="B18" s="385"/>
      <c r="C18" s="385"/>
      <c r="D18" s="385"/>
      <c r="E18" s="385"/>
      <c r="F18" s="385"/>
      <c r="G18" s="385"/>
      <c r="H18" s="385"/>
      <c r="I18" s="385"/>
      <c r="J18" s="385"/>
      <c r="K18" s="385"/>
      <c r="L18" s="385"/>
      <c r="N18" s="384"/>
      <c r="O18" s="384"/>
      <c r="P18" s="384"/>
      <c r="Q18" s="384"/>
      <c r="R18" s="384"/>
      <c r="S18" s="384"/>
      <c r="T18" s="384"/>
      <c r="U18" s="384"/>
      <c r="V18" s="384"/>
      <c r="W18" s="384"/>
      <c r="X18" s="384"/>
      <c r="Y18" s="384"/>
      <c r="Z18" s="384"/>
      <c r="AA18" s="384"/>
    </row>
    <row r="19" spans="2:27" ht="15" customHeight="1" x14ac:dyDescent="0.3">
      <c r="B19" s="385"/>
      <c r="C19" s="385"/>
      <c r="D19" s="385"/>
      <c r="E19" s="385"/>
      <c r="F19" s="385"/>
      <c r="G19" s="385"/>
      <c r="H19" s="385"/>
      <c r="I19" s="385"/>
      <c r="J19" s="385"/>
      <c r="K19" s="385"/>
      <c r="L19" s="385"/>
      <c r="N19" s="384"/>
      <c r="O19" s="384"/>
      <c r="P19" s="384"/>
      <c r="Q19" s="384"/>
      <c r="R19" s="384"/>
      <c r="S19" s="384"/>
      <c r="T19" s="384"/>
      <c r="U19" s="384"/>
      <c r="V19" s="384"/>
      <c r="W19" s="384"/>
      <c r="X19" s="384"/>
      <c r="Y19" s="384"/>
      <c r="Z19" s="384"/>
      <c r="AA19" s="384"/>
    </row>
    <row r="20" spans="2:27" ht="15" customHeight="1" x14ac:dyDescent="0.3">
      <c r="B20" s="385"/>
      <c r="C20" s="385"/>
      <c r="D20" s="385"/>
      <c r="E20" s="385"/>
      <c r="F20" s="385"/>
      <c r="G20" s="385"/>
      <c r="H20" s="385"/>
      <c r="I20" s="385"/>
      <c r="J20" s="385"/>
      <c r="K20" s="385"/>
      <c r="L20" s="385"/>
      <c r="N20" s="384"/>
      <c r="O20" s="384"/>
      <c r="P20" s="384"/>
      <c r="Q20" s="384"/>
      <c r="R20" s="384"/>
      <c r="S20" s="384"/>
      <c r="T20" s="384"/>
      <c r="U20" s="384"/>
      <c r="V20" s="384"/>
      <c r="W20" s="384"/>
      <c r="X20" s="384"/>
      <c r="Y20" s="384"/>
      <c r="Z20" s="384"/>
      <c r="AA20" s="384"/>
    </row>
    <row r="21" spans="2:27" ht="15" customHeight="1" x14ac:dyDescent="0.3">
      <c r="B21" s="385"/>
      <c r="C21" s="385"/>
      <c r="D21" s="385"/>
      <c r="E21" s="385"/>
      <c r="F21" s="385"/>
      <c r="G21" s="385"/>
      <c r="H21" s="385"/>
      <c r="I21" s="385"/>
      <c r="J21" s="385"/>
      <c r="K21" s="385"/>
      <c r="L21" s="385"/>
      <c r="N21" s="384"/>
      <c r="O21" s="384"/>
      <c r="P21" s="384"/>
      <c r="Q21" s="384"/>
      <c r="R21" s="384"/>
      <c r="S21" s="384"/>
      <c r="T21" s="384"/>
      <c r="U21" s="384"/>
      <c r="V21" s="384"/>
      <c r="W21" s="384"/>
      <c r="X21" s="384"/>
      <c r="Y21" s="384"/>
      <c r="Z21" s="384"/>
      <c r="AA21" s="384"/>
    </row>
    <row r="22" spans="2:27" ht="15" customHeight="1" x14ac:dyDescent="0.3">
      <c r="B22" s="385"/>
      <c r="C22" s="385"/>
      <c r="D22" s="385"/>
      <c r="E22" s="385"/>
      <c r="F22" s="385"/>
      <c r="G22" s="385"/>
      <c r="H22" s="385"/>
      <c r="I22" s="385"/>
      <c r="J22" s="385"/>
      <c r="K22" s="385"/>
      <c r="L22" s="385"/>
      <c r="N22" s="384"/>
      <c r="O22" s="384"/>
      <c r="P22" s="384"/>
      <c r="Q22" s="384"/>
      <c r="R22" s="384"/>
      <c r="S22" s="384"/>
      <c r="T22" s="384"/>
      <c r="U22" s="384"/>
      <c r="V22" s="384"/>
      <c r="W22" s="384"/>
      <c r="X22" s="384"/>
      <c r="Y22" s="384"/>
      <c r="Z22" s="384"/>
      <c r="AA22" s="384"/>
    </row>
    <row r="23" spans="2:27" ht="15" customHeight="1" x14ac:dyDescent="0.3">
      <c r="B23" s="385"/>
      <c r="C23" s="385"/>
      <c r="D23" s="385"/>
      <c r="E23" s="385"/>
      <c r="F23" s="385"/>
      <c r="G23" s="385"/>
      <c r="H23" s="385"/>
      <c r="I23" s="385"/>
      <c r="J23" s="385"/>
      <c r="K23" s="385"/>
      <c r="L23" s="385"/>
      <c r="N23" s="384"/>
      <c r="O23" s="384"/>
      <c r="P23" s="384"/>
      <c r="Q23" s="384"/>
      <c r="R23" s="384"/>
      <c r="S23" s="384"/>
      <c r="T23" s="384"/>
      <c r="U23" s="384"/>
      <c r="V23" s="384"/>
      <c r="W23" s="384"/>
      <c r="X23" s="384"/>
      <c r="Y23" s="384"/>
      <c r="Z23" s="384"/>
      <c r="AA23" s="384"/>
    </row>
    <row r="24" spans="2:27" ht="15" customHeight="1" x14ac:dyDescent="0.3">
      <c r="B24" s="385"/>
      <c r="C24" s="385"/>
      <c r="D24" s="385"/>
      <c r="E24" s="385"/>
      <c r="F24" s="385"/>
      <c r="G24" s="385"/>
      <c r="H24" s="385"/>
      <c r="I24" s="385"/>
      <c r="J24" s="385"/>
      <c r="K24" s="385"/>
      <c r="L24" s="385"/>
      <c r="N24" s="384"/>
      <c r="O24" s="384"/>
      <c r="P24" s="384"/>
      <c r="Q24" s="384"/>
      <c r="R24" s="384"/>
      <c r="S24" s="384"/>
      <c r="T24" s="384"/>
      <c r="U24" s="384"/>
      <c r="V24" s="384"/>
      <c r="W24" s="384"/>
      <c r="X24" s="384"/>
      <c r="Y24" s="384"/>
      <c r="Z24" s="384"/>
      <c r="AA24" s="384"/>
    </row>
    <row r="25" spans="2:27" ht="15" customHeight="1" x14ac:dyDescent="0.3">
      <c r="B25" s="385"/>
      <c r="C25" s="385"/>
      <c r="D25" s="385"/>
      <c r="E25" s="385"/>
      <c r="F25" s="385"/>
      <c r="G25" s="385"/>
      <c r="H25" s="385"/>
      <c r="I25" s="385"/>
      <c r="J25" s="385"/>
      <c r="K25" s="385"/>
      <c r="L25" s="385"/>
      <c r="N25" s="384"/>
      <c r="O25" s="384"/>
      <c r="P25" s="384"/>
      <c r="Q25" s="384"/>
      <c r="R25" s="384"/>
      <c r="S25" s="384"/>
      <c r="T25" s="384"/>
      <c r="U25" s="384"/>
      <c r="V25" s="384"/>
      <c r="W25" s="384"/>
      <c r="X25" s="384"/>
      <c r="Y25" s="384"/>
      <c r="Z25" s="384"/>
      <c r="AA25" s="384"/>
    </row>
    <row r="26" spans="2:27" ht="15" customHeight="1" x14ac:dyDescent="0.3">
      <c r="B26" s="385"/>
      <c r="C26" s="385"/>
      <c r="D26" s="385"/>
      <c r="E26" s="385"/>
      <c r="F26" s="385"/>
      <c r="G26" s="385"/>
      <c r="H26" s="385"/>
      <c r="I26" s="385"/>
      <c r="J26" s="385"/>
      <c r="K26" s="385"/>
      <c r="L26" s="385"/>
      <c r="N26" s="384"/>
      <c r="O26" s="384"/>
      <c r="P26" s="384"/>
      <c r="Q26" s="384"/>
      <c r="R26" s="384"/>
      <c r="S26" s="384"/>
      <c r="T26" s="384"/>
      <c r="U26" s="384"/>
      <c r="V26" s="384"/>
      <c r="W26" s="384"/>
      <c r="X26" s="384"/>
      <c r="Y26" s="384"/>
      <c r="Z26" s="384"/>
      <c r="AA26" s="384"/>
    </row>
    <row r="27" spans="2:27" ht="15" customHeight="1" x14ac:dyDescent="0.3">
      <c r="B27" s="385"/>
      <c r="C27" s="385"/>
      <c r="D27" s="385"/>
      <c r="E27" s="385"/>
      <c r="F27" s="385"/>
      <c r="G27" s="385"/>
      <c r="H27" s="385"/>
      <c r="I27" s="385"/>
      <c r="J27" s="385"/>
      <c r="K27" s="385"/>
      <c r="L27" s="385"/>
      <c r="N27" s="384"/>
      <c r="O27" s="384"/>
      <c r="P27" s="384"/>
      <c r="Q27" s="384"/>
      <c r="R27" s="384"/>
      <c r="S27" s="384"/>
      <c r="T27" s="384"/>
      <c r="U27" s="384"/>
      <c r="V27" s="384"/>
      <c r="W27" s="384"/>
      <c r="X27" s="384"/>
      <c r="Y27" s="384"/>
      <c r="Z27" s="384"/>
      <c r="AA27" s="384"/>
    </row>
    <row r="28" spans="2:27" ht="15" customHeight="1" x14ac:dyDescent="0.3">
      <c r="B28" s="385"/>
      <c r="C28" s="385"/>
      <c r="D28" s="385"/>
      <c r="E28" s="385"/>
      <c r="F28" s="385"/>
      <c r="G28" s="385"/>
      <c r="H28" s="385"/>
      <c r="I28" s="385"/>
      <c r="J28" s="385"/>
      <c r="K28" s="385"/>
      <c r="L28" s="385"/>
      <c r="N28" s="384"/>
      <c r="O28" s="384"/>
      <c r="P28" s="384"/>
      <c r="Q28" s="384"/>
      <c r="R28" s="384"/>
      <c r="S28" s="384"/>
      <c r="T28" s="384"/>
      <c r="U28" s="384"/>
      <c r="V28" s="384"/>
      <c r="W28" s="384"/>
      <c r="X28" s="384"/>
      <c r="Y28" s="384"/>
      <c r="Z28" s="384"/>
      <c r="AA28" s="384"/>
    </row>
    <row r="29" spans="2:27" ht="15" customHeight="1" x14ac:dyDescent="0.3">
      <c r="B29" s="385"/>
      <c r="C29" s="385"/>
      <c r="D29" s="385"/>
      <c r="E29" s="385"/>
      <c r="F29" s="385"/>
      <c r="G29" s="385"/>
      <c r="H29" s="385"/>
      <c r="I29" s="385"/>
      <c r="J29" s="385"/>
      <c r="K29" s="385"/>
      <c r="L29" s="385"/>
      <c r="N29" s="384"/>
      <c r="O29" s="384"/>
      <c r="P29" s="384"/>
      <c r="Q29" s="384"/>
      <c r="R29" s="384"/>
      <c r="S29" s="384"/>
      <c r="T29" s="384"/>
      <c r="U29" s="384"/>
      <c r="V29" s="384"/>
      <c r="W29" s="384"/>
      <c r="X29" s="384"/>
      <c r="Y29" s="384"/>
      <c r="Z29" s="384"/>
      <c r="AA29" s="384"/>
    </row>
    <row r="30" spans="2:27" ht="15" customHeight="1" x14ac:dyDescent="0.3">
      <c r="B30" s="385"/>
      <c r="C30" s="385"/>
      <c r="D30" s="385"/>
      <c r="E30" s="385"/>
      <c r="F30" s="385"/>
      <c r="G30" s="385"/>
      <c r="H30" s="385"/>
      <c r="I30" s="385"/>
      <c r="J30" s="385"/>
      <c r="K30" s="385"/>
      <c r="L30" s="385"/>
      <c r="N30" s="384"/>
      <c r="O30" s="384"/>
      <c r="P30" s="384"/>
      <c r="Q30" s="384"/>
      <c r="R30" s="384"/>
      <c r="S30" s="384"/>
      <c r="T30" s="384"/>
      <c r="U30" s="384"/>
      <c r="V30" s="384"/>
      <c r="W30" s="384"/>
      <c r="X30" s="384"/>
      <c r="Y30" s="384"/>
      <c r="Z30" s="384"/>
      <c r="AA30" s="384"/>
    </row>
    <row r="31" spans="2:27" ht="15" customHeight="1" x14ac:dyDescent="0.3">
      <c r="B31" s="385"/>
      <c r="C31" s="385"/>
      <c r="D31" s="385"/>
      <c r="E31" s="385"/>
      <c r="F31" s="385"/>
      <c r="G31" s="385"/>
      <c r="H31" s="385"/>
      <c r="I31" s="385"/>
      <c r="J31" s="385"/>
      <c r="K31" s="385"/>
      <c r="L31" s="385"/>
      <c r="N31" s="384"/>
      <c r="O31" s="384"/>
      <c r="P31" s="384"/>
      <c r="Q31" s="384"/>
      <c r="R31" s="384"/>
      <c r="S31" s="384"/>
      <c r="T31" s="384"/>
      <c r="U31" s="384"/>
      <c r="V31" s="384"/>
      <c r="W31" s="384"/>
      <c r="X31" s="384"/>
      <c r="Y31" s="384"/>
      <c r="Z31" s="384"/>
      <c r="AA31" s="384"/>
    </row>
    <row r="32" spans="2:27" ht="15.45" customHeight="1" x14ac:dyDescent="0.3">
      <c r="B32" s="385"/>
      <c r="C32" s="385"/>
      <c r="D32" s="385"/>
      <c r="E32" s="385"/>
      <c r="F32" s="385"/>
      <c r="G32" s="385"/>
      <c r="H32" s="385"/>
      <c r="I32" s="385"/>
      <c r="J32" s="385"/>
      <c r="K32" s="385"/>
      <c r="L32" s="385"/>
      <c r="N32" s="384"/>
      <c r="O32" s="384"/>
      <c r="P32" s="384"/>
      <c r="Q32" s="384"/>
      <c r="R32" s="384"/>
      <c r="S32" s="384"/>
      <c r="T32" s="384"/>
      <c r="U32" s="384"/>
      <c r="V32" s="384"/>
      <c r="W32" s="384"/>
      <c r="X32" s="384"/>
      <c r="Y32" s="384"/>
      <c r="Z32" s="384"/>
      <c r="AA32" s="384"/>
    </row>
    <row r="33" spans="2:28" ht="16.5" customHeight="1" x14ac:dyDescent="0.3">
      <c r="B33" s="385"/>
      <c r="C33" s="385"/>
      <c r="D33" s="385"/>
      <c r="E33" s="385"/>
      <c r="F33" s="385"/>
      <c r="G33" s="385"/>
      <c r="H33" s="385"/>
      <c r="I33" s="385"/>
      <c r="J33" s="385"/>
      <c r="K33" s="385"/>
      <c r="L33" s="385"/>
      <c r="N33" s="384" t="s">
        <v>853</v>
      </c>
      <c r="O33" s="384"/>
      <c r="P33" s="384"/>
      <c r="Q33" s="384"/>
      <c r="R33" s="384"/>
      <c r="S33" s="384"/>
      <c r="T33" s="384"/>
      <c r="U33" s="384"/>
      <c r="V33" s="384"/>
      <c r="W33" s="384"/>
      <c r="X33" s="384"/>
      <c r="Y33" s="384"/>
      <c r="Z33" s="384"/>
      <c r="AA33" s="384"/>
      <c r="AB33" s="339"/>
    </row>
    <row r="34" spans="2:28" ht="15" customHeight="1" x14ac:dyDescent="0.3">
      <c r="B34" s="384" t="s">
        <v>852</v>
      </c>
      <c r="C34" s="384"/>
      <c r="D34" s="384"/>
      <c r="E34" s="384"/>
      <c r="F34" s="384"/>
      <c r="G34" s="384"/>
      <c r="H34" s="384"/>
      <c r="I34" s="384"/>
      <c r="J34" s="384"/>
      <c r="K34" s="384"/>
      <c r="L34" s="384"/>
      <c r="N34" s="384"/>
      <c r="O34" s="384"/>
      <c r="P34" s="384"/>
      <c r="Q34" s="384"/>
      <c r="R34" s="384"/>
      <c r="S34" s="384"/>
      <c r="T34" s="384"/>
      <c r="U34" s="384"/>
      <c r="V34" s="384"/>
      <c r="W34" s="384"/>
      <c r="X34" s="384"/>
      <c r="Y34" s="384"/>
      <c r="Z34" s="384"/>
      <c r="AA34" s="384"/>
      <c r="AB34" s="339"/>
    </row>
    <row r="35" spans="2:28" ht="15" customHeight="1" x14ac:dyDescent="0.3">
      <c r="B35" s="384"/>
      <c r="C35" s="384"/>
      <c r="D35" s="384"/>
      <c r="E35" s="384"/>
      <c r="F35" s="384"/>
      <c r="G35" s="384"/>
      <c r="H35" s="384"/>
      <c r="I35" s="384"/>
      <c r="J35" s="384"/>
      <c r="K35" s="384"/>
      <c r="L35" s="384"/>
      <c r="N35" s="384"/>
      <c r="O35" s="384"/>
      <c r="P35" s="384"/>
      <c r="Q35" s="384"/>
      <c r="R35" s="384"/>
      <c r="S35" s="384"/>
      <c r="T35" s="384"/>
      <c r="U35" s="384"/>
      <c r="V35" s="384"/>
      <c r="W35" s="384"/>
      <c r="X35" s="384"/>
      <c r="Y35" s="384"/>
      <c r="Z35" s="384"/>
      <c r="AA35" s="384"/>
      <c r="AB35" s="339"/>
    </row>
    <row r="36" spans="2:28" ht="15" customHeight="1" x14ac:dyDescent="0.3">
      <c r="B36" s="384"/>
      <c r="C36" s="384"/>
      <c r="D36" s="384"/>
      <c r="E36" s="384"/>
      <c r="F36" s="384"/>
      <c r="G36" s="384"/>
      <c r="H36" s="384"/>
      <c r="I36" s="384"/>
      <c r="J36" s="384"/>
      <c r="K36" s="384"/>
      <c r="L36" s="384"/>
      <c r="N36" s="384"/>
      <c r="O36" s="384"/>
      <c r="P36" s="384"/>
      <c r="Q36" s="384"/>
      <c r="R36" s="384"/>
      <c r="S36" s="384"/>
      <c r="T36" s="384"/>
      <c r="U36" s="384"/>
      <c r="V36" s="384"/>
      <c r="W36" s="384"/>
      <c r="X36" s="384"/>
      <c r="Y36" s="384"/>
      <c r="Z36" s="384"/>
      <c r="AA36" s="384"/>
      <c r="AB36" s="339"/>
    </row>
    <row r="37" spans="2:28" ht="15" customHeight="1" x14ac:dyDescent="0.3">
      <c r="B37" s="384"/>
      <c r="C37" s="384"/>
      <c r="D37" s="384"/>
      <c r="E37" s="384"/>
      <c r="F37" s="384"/>
      <c r="G37" s="384"/>
      <c r="H37" s="384"/>
      <c r="I37" s="384"/>
      <c r="J37" s="384"/>
      <c r="K37" s="384"/>
      <c r="L37" s="384"/>
      <c r="N37" s="384"/>
      <c r="O37" s="384"/>
      <c r="P37" s="384"/>
      <c r="Q37" s="384"/>
      <c r="R37" s="384"/>
      <c r="S37" s="384"/>
      <c r="T37" s="384"/>
      <c r="U37" s="384"/>
      <c r="V37" s="384"/>
      <c r="W37" s="384"/>
      <c r="X37" s="384"/>
      <c r="Y37" s="384"/>
      <c r="Z37" s="384"/>
      <c r="AA37" s="384"/>
      <c r="AB37" s="339"/>
    </row>
    <row r="38" spans="2:28" ht="15" customHeight="1" x14ac:dyDescent="0.3">
      <c r="B38" s="384"/>
      <c r="C38" s="384"/>
      <c r="D38" s="384"/>
      <c r="E38" s="384"/>
      <c r="F38" s="384"/>
      <c r="G38" s="384"/>
      <c r="H38" s="384"/>
      <c r="I38" s="384"/>
      <c r="J38" s="384"/>
      <c r="K38" s="384"/>
      <c r="L38" s="384"/>
      <c r="N38" s="384"/>
      <c r="O38" s="384"/>
      <c r="P38" s="384"/>
      <c r="Q38" s="384"/>
      <c r="R38" s="384"/>
      <c r="S38" s="384"/>
      <c r="T38" s="384"/>
      <c r="U38" s="384"/>
      <c r="V38" s="384"/>
      <c r="W38" s="384"/>
      <c r="X38" s="384"/>
      <c r="Y38" s="384"/>
      <c r="Z38" s="384"/>
      <c r="AA38" s="384"/>
      <c r="AB38" s="339"/>
    </row>
    <row r="39" spans="2:28" ht="15" customHeight="1" x14ac:dyDescent="0.3">
      <c r="B39" s="384"/>
      <c r="C39" s="384"/>
      <c r="D39" s="384"/>
      <c r="E39" s="384"/>
      <c r="F39" s="384"/>
      <c r="G39" s="384"/>
      <c r="H39" s="384"/>
      <c r="I39" s="384"/>
      <c r="J39" s="384"/>
      <c r="K39" s="384"/>
      <c r="L39" s="384"/>
      <c r="N39" s="384"/>
      <c r="O39" s="384"/>
      <c r="P39" s="384"/>
      <c r="Q39" s="384"/>
      <c r="R39" s="384"/>
      <c r="S39" s="384"/>
      <c r="T39" s="384"/>
      <c r="U39" s="384"/>
      <c r="V39" s="384"/>
      <c r="W39" s="384"/>
      <c r="X39" s="384"/>
      <c r="Y39" s="384"/>
      <c r="Z39" s="384"/>
      <c r="AA39" s="384"/>
      <c r="AB39" s="339"/>
    </row>
    <row r="40" spans="2:28" ht="15" customHeight="1" x14ac:dyDescent="0.3">
      <c r="B40" s="384"/>
      <c r="C40" s="384"/>
      <c r="D40" s="384"/>
      <c r="E40" s="384"/>
      <c r="F40" s="384"/>
      <c r="G40" s="384"/>
      <c r="H40" s="384"/>
      <c r="I40" s="384"/>
      <c r="J40" s="384"/>
      <c r="K40" s="384"/>
      <c r="L40" s="384"/>
      <c r="N40" s="384"/>
      <c r="O40" s="384"/>
      <c r="P40" s="384"/>
      <c r="Q40" s="384"/>
      <c r="R40" s="384"/>
      <c r="S40" s="384"/>
      <c r="T40" s="384"/>
      <c r="U40" s="384"/>
      <c r="V40" s="384"/>
      <c r="W40" s="384"/>
      <c r="X40" s="384"/>
      <c r="Y40" s="384"/>
      <c r="Z40" s="384"/>
      <c r="AA40" s="384"/>
      <c r="AB40" s="339"/>
    </row>
    <row r="41" spans="2:28" ht="15" customHeight="1" x14ac:dyDescent="0.3">
      <c r="B41" s="384"/>
      <c r="C41" s="384"/>
      <c r="D41" s="384"/>
      <c r="E41" s="384"/>
      <c r="F41" s="384"/>
      <c r="G41" s="384"/>
      <c r="H41" s="384"/>
      <c r="I41" s="384"/>
      <c r="J41" s="384"/>
      <c r="K41" s="384"/>
      <c r="L41" s="384"/>
      <c r="N41" s="384"/>
      <c r="O41" s="384"/>
      <c r="P41" s="384"/>
      <c r="Q41" s="384"/>
      <c r="R41" s="384"/>
      <c r="S41" s="384"/>
      <c r="T41" s="384"/>
      <c r="U41" s="384"/>
      <c r="V41" s="384"/>
      <c r="W41" s="384"/>
      <c r="X41" s="384"/>
      <c r="Y41" s="384"/>
      <c r="Z41" s="384"/>
      <c r="AA41" s="384"/>
      <c r="AB41" s="339"/>
    </row>
    <row r="42" spans="2:28" ht="15" customHeight="1" x14ac:dyDescent="0.3">
      <c r="B42" s="384"/>
      <c r="C42" s="384"/>
      <c r="D42" s="384"/>
      <c r="E42" s="384"/>
      <c r="F42" s="384"/>
      <c r="G42" s="384"/>
      <c r="H42" s="384"/>
      <c r="I42" s="384"/>
      <c r="J42" s="384"/>
      <c r="K42" s="384"/>
      <c r="L42" s="384"/>
      <c r="N42" s="384"/>
      <c r="O42" s="384"/>
      <c r="P42" s="384"/>
      <c r="Q42" s="384"/>
      <c r="R42" s="384"/>
      <c r="S42" s="384"/>
      <c r="T42" s="384"/>
      <c r="U42" s="384"/>
      <c r="V42" s="384"/>
      <c r="W42" s="384"/>
      <c r="X42" s="384"/>
      <c r="Y42" s="384"/>
      <c r="Z42" s="384"/>
      <c r="AA42" s="384"/>
      <c r="AB42" s="339"/>
    </row>
    <row r="43" spans="2:28" ht="15" customHeight="1" x14ac:dyDescent="0.3">
      <c r="B43" s="384"/>
      <c r="C43" s="384"/>
      <c r="D43" s="384"/>
      <c r="E43" s="384"/>
      <c r="F43" s="384"/>
      <c r="G43" s="384"/>
      <c r="H43" s="384"/>
      <c r="I43" s="384"/>
      <c r="J43" s="384"/>
      <c r="K43" s="384"/>
      <c r="L43" s="384"/>
      <c r="N43" s="384"/>
      <c r="O43" s="384"/>
      <c r="P43" s="384"/>
      <c r="Q43" s="384"/>
      <c r="R43" s="384"/>
      <c r="S43" s="384"/>
      <c r="T43" s="384"/>
      <c r="U43" s="384"/>
      <c r="V43" s="384"/>
      <c r="W43" s="384"/>
      <c r="X43" s="384"/>
      <c r="Y43" s="384"/>
      <c r="Z43" s="384"/>
      <c r="AA43" s="384"/>
      <c r="AB43" s="339"/>
    </row>
    <row r="44" spans="2:28" ht="15" customHeight="1" x14ac:dyDescent="0.3">
      <c r="B44" s="384"/>
      <c r="C44" s="384"/>
      <c r="D44" s="384"/>
      <c r="E44" s="384"/>
      <c r="F44" s="384"/>
      <c r="G44" s="384"/>
      <c r="H44" s="384"/>
      <c r="I44" s="384"/>
      <c r="J44" s="384"/>
      <c r="K44" s="384"/>
      <c r="L44" s="384"/>
      <c r="N44" s="384"/>
      <c r="O44" s="384"/>
      <c r="P44" s="384"/>
      <c r="Q44" s="384"/>
      <c r="R44" s="384"/>
      <c r="S44" s="384"/>
      <c r="T44" s="384"/>
      <c r="U44" s="384"/>
      <c r="V44" s="384"/>
      <c r="W44" s="384"/>
      <c r="X44" s="384"/>
      <c r="Y44" s="384"/>
      <c r="Z44" s="384"/>
      <c r="AA44" s="384"/>
      <c r="AB44" s="339"/>
    </row>
    <row r="45" spans="2:28" ht="15" customHeight="1" x14ac:dyDescent="0.3">
      <c r="B45" s="384"/>
      <c r="C45" s="384"/>
      <c r="D45" s="384"/>
      <c r="E45" s="384"/>
      <c r="F45" s="384"/>
      <c r="G45" s="384"/>
      <c r="H45" s="384"/>
      <c r="I45" s="384"/>
      <c r="J45" s="384"/>
      <c r="K45" s="384"/>
      <c r="L45" s="384"/>
      <c r="N45" s="384"/>
      <c r="O45" s="384"/>
      <c r="P45" s="384"/>
      <c r="Q45" s="384"/>
      <c r="R45" s="384"/>
      <c r="S45" s="384"/>
      <c r="T45" s="384"/>
      <c r="U45" s="384"/>
      <c r="V45" s="384"/>
      <c r="W45" s="384"/>
      <c r="X45" s="384"/>
      <c r="Y45" s="384"/>
      <c r="Z45" s="384"/>
      <c r="AA45" s="384"/>
      <c r="AB45" s="339"/>
    </row>
    <row r="46" spans="2:28" ht="15" customHeight="1" x14ac:dyDescent="0.3">
      <c r="B46" s="384"/>
      <c r="C46" s="384"/>
      <c r="D46" s="384"/>
      <c r="E46" s="384"/>
      <c r="F46" s="384"/>
      <c r="G46" s="384"/>
      <c r="H46" s="384"/>
      <c r="I46" s="384"/>
      <c r="J46" s="384"/>
      <c r="K46" s="384"/>
      <c r="L46" s="384"/>
      <c r="N46" s="384"/>
      <c r="O46" s="384"/>
      <c r="P46" s="384"/>
      <c r="Q46" s="384"/>
      <c r="R46" s="384"/>
      <c r="S46" s="384"/>
      <c r="T46" s="384"/>
      <c r="U46" s="384"/>
      <c r="V46" s="384"/>
      <c r="W46" s="384"/>
      <c r="X46" s="384"/>
      <c r="Y46" s="384"/>
      <c r="Z46" s="384"/>
      <c r="AA46" s="384"/>
      <c r="AB46" s="339"/>
    </row>
    <row r="47" spans="2:28" ht="15" customHeight="1" x14ac:dyDescent="0.3">
      <c r="B47" s="384"/>
      <c r="C47" s="384"/>
      <c r="D47" s="384"/>
      <c r="E47" s="384"/>
      <c r="F47" s="384"/>
      <c r="G47" s="384"/>
      <c r="H47" s="384"/>
      <c r="I47" s="384"/>
      <c r="J47" s="384"/>
      <c r="K47" s="384"/>
      <c r="L47" s="384"/>
      <c r="N47" s="384"/>
      <c r="O47" s="384"/>
      <c r="P47" s="384"/>
      <c r="Q47" s="384"/>
      <c r="R47" s="384"/>
      <c r="S47" s="384"/>
      <c r="T47" s="384"/>
      <c r="U47" s="384"/>
      <c r="V47" s="384"/>
      <c r="W47" s="384"/>
      <c r="X47" s="384"/>
      <c r="Y47" s="384"/>
      <c r="Z47" s="384"/>
      <c r="AA47" s="384"/>
      <c r="AB47" s="339"/>
    </row>
    <row r="48" spans="2:28" ht="15" customHeight="1" x14ac:dyDescent="0.3">
      <c r="B48" s="384"/>
      <c r="C48" s="384"/>
      <c r="D48" s="384"/>
      <c r="E48" s="384"/>
      <c r="F48" s="384"/>
      <c r="G48" s="384"/>
      <c r="H48" s="384"/>
      <c r="I48" s="384"/>
      <c r="J48" s="384"/>
      <c r="K48" s="384"/>
      <c r="L48" s="384"/>
      <c r="N48" s="384"/>
      <c r="O48" s="384"/>
      <c r="P48" s="384"/>
      <c r="Q48" s="384"/>
      <c r="R48" s="384"/>
      <c r="S48" s="384"/>
      <c r="T48" s="384"/>
      <c r="U48" s="384"/>
      <c r="V48" s="384"/>
      <c r="W48" s="384"/>
      <c r="X48" s="384"/>
      <c r="Y48" s="384"/>
      <c r="Z48" s="384"/>
      <c r="AA48" s="384"/>
      <c r="AB48" s="339"/>
    </row>
    <row r="49" spans="2:28" ht="15" customHeight="1" x14ac:dyDescent="0.3">
      <c r="B49" s="384"/>
      <c r="C49" s="384"/>
      <c r="D49" s="384"/>
      <c r="E49" s="384"/>
      <c r="F49" s="384"/>
      <c r="G49" s="384"/>
      <c r="H49" s="384"/>
      <c r="I49" s="384"/>
      <c r="J49" s="384"/>
      <c r="K49" s="384"/>
      <c r="L49" s="384"/>
      <c r="N49" s="384"/>
      <c r="O49" s="384"/>
      <c r="P49" s="384"/>
      <c r="Q49" s="384"/>
      <c r="R49" s="384"/>
      <c r="S49" s="384"/>
      <c r="T49" s="384"/>
      <c r="U49" s="384"/>
      <c r="V49" s="384"/>
      <c r="W49" s="384"/>
      <c r="X49" s="384"/>
      <c r="Y49" s="384"/>
      <c r="Z49" s="384"/>
      <c r="AA49" s="384"/>
      <c r="AB49" s="339"/>
    </row>
    <row r="50" spans="2:28" ht="15" customHeight="1" x14ac:dyDescent="0.3">
      <c r="B50" s="384"/>
      <c r="C50" s="384"/>
      <c r="D50" s="384"/>
      <c r="E50" s="384"/>
      <c r="F50" s="384"/>
      <c r="G50" s="384"/>
      <c r="H50" s="384"/>
      <c r="I50" s="384"/>
      <c r="J50" s="384"/>
      <c r="K50" s="384"/>
      <c r="L50" s="384"/>
      <c r="N50" s="384"/>
      <c r="O50" s="384"/>
      <c r="P50" s="384"/>
      <c r="Q50" s="384"/>
      <c r="R50" s="384"/>
      <c r="S50" s="384"/>
      <c r="T50" s="384"/>
      <c r="U50" s="384"/>
      <c r="V50" s="384"/>
      <c r="W50" s="384"/>
      <c r="X50" s="384"/>
      <c r="Y50" s="384"/>
      <c r="Z50" s="384"/>
      <c r="AA50" s="384"/>
      <c r="AB50" s="339"/>
    </row>
    <row r="51" spans="2:28" ht="15" customHeight="1" x14ac:dyDescent="0.3">
      <c r="B51" s="384"/>
      <c r="C51" s="384"/>
      <c r="D51" s="384"/>
      <c r="E51" s="384"/>
      <c r="F51" s="384"/>
      <c r="G51" s="384"/>
      <c r="H51" s="384"/>
      <c r="I51" s="384"/>
      <c r="J51" s="384"/>
      <c r="K51" s="384"/>
      <c r="L51" s="384"/>
      <c r="N51" s="384"/>
      <c r="O51" s="384"/>
      <c r="P51" s="384"/>
      <c r="Q51" s="384"/>
      <c r="R51" s="384"/>
      <c r="S51" s="384"/>
      <c r="T51" s="384"/>
      <c r="U51" s="384"/>
      <c r="V51" s="384"/>
      <c r="W51" s="384"/>
      <c r="X51" s="384"/>
      <c r="Y51" s="384"/>
      <c r="Z51" s="384"/>
      <c r="AA51" s="384"/>
      <c r="AB51" s="339"/>
    </row>
    <row r="52" spans="2:28" ht="15" customHeight="1" x14ac:dyDescent="0.3">
      <c r="B52" s="384"/>
      <c r="C52" s="384"/>
      <c r="D52" s="384"/>
      <c r="E52" s="384"/>
      <c r="F52" s="384"/>
      <c r="G52" s="384"/>
      <c r="H52" s="384"/>
      <c r="I52" s="384"/>
      <c r="J52" s="384"/>
      <c r="K52" s="384"/>
      <c r="L52" s="384"/>
      <c r="N52" s="384"/>
      <c r="O52" s="384"/>
      <c r="P52" s="384"/>
      <c r="Q52" s="384"/>
      <c r="R52" s="384"/>
      <c r="S52" s="384"/>
      <c r="T52" s="384"/>
      <c r="U52" s="384"/>
      <c r="V52" s="384"/>
      <c r="W52" s="384"/>
      <c r="X52" s="384"/>
      <c r="Y52" s="384"/>
      <c r="Z52" s="384"/>
      <c r="AA52" s="384"/>
      <c r="AB52" s="339"/>
    </row>
    <row r="53" spans="2:28" ht="15" customHeight="1" x14ac:dyDescent="0.3">
      <c r="B53" s="384"/>
      <c r="C53" s="384"/>
      <c r="D53" s="384"/>
      <c r="E53" s="384"/>
      <c r="F53" s="384"/>
      <c r="G53" s="384"/>
      <c r="H53" s="384"/>
      <c r="I53" s="384"/>
      <c r="J53" s="384"/>
      <c r="K53" s="384"/>
      <c r="L53" s="384"/>
      <c r="N53" s="384"/>
      <c r="O53" s="384"/>
      <c r="P53" s="384"/>
      <c r="Q53" s="384"/>
      <c r="R53" s="384"/>
      <c r="S53" s="384"/>
      <c r="T53" s="384"/>
      <c r="U53" s="384"/>
      <c r="V53" s="384"/>
      <c r="W53" s="384"/>
      <c r="X53" s="384"/>
      <c r="Y53" s="384"/>
      <c r="Z53" s="384"/>
      <c r="AA53" s="384"/>
      <c r="AB53" s="339"/>
    </row>
    <row r="54" spans="2:28" ht="15" customHeight="1" x14ac:dyDescent="0.3">
      <c r="B54" s="384"/>
      <c r="C54" s="384"/>
      <c r="D54" s="384"/>
      <c r="E54" s="384"/>
      <c r="F54" s="384"/>
      <c r="G54" s="384"/>
      <c r="H54" s="384"/>
      <c r="I54" s="384"/>
      <c r="J54" s="384"/>
      <c r="K54" s="384"/>
      <c r="L54" s="384"/>
      <c r="N54" s="384"/>
      <c r="O54" s="384"/>
      <c r="P54" s="384"/>
      <c r="Q54" s="384"/>
      <c r="R54" s="384"/>
      <c r="S54" s="384"/>
      <c r="T54" s="384"/>
      <c r="U54" s="384"/>
      <c r="V54" s="384"/>
      <c r="W54" s="384"/>
      <c r="X54" s="384"/>
      <c r="Y54" s="384"/>
      <c r="Z54" s="384"/>
      <c r="AA54" s="384"/>
      <c r="AB54" s="339"/>
    </row>
    <row r="55" spans="2:28" ht="15" customHeight="1" x14ac:dyDescent="0.3">
      <c r="B55" s="384"/>
      <c r="C55" s="384"/>
      <c r="D55" s="384"/>
      <c r="E55" s="384"/>
      <c r="F55" s="384"/>
      <c r="G55" s="384"/>
      <c r="H55" s="384"/>
      <c r="I55" s="384"/>
      <c r="J55" s="384"/>
      <c r="K55" s="384"/>
      <c r="L55" s="384"/>
      <c r="N55" s="384"/>
      <c r="O55" s="384"/>
      <c r="P55" s="384"/>
      <c r="Q55" s="384"/>
      <c r="R55" s="384"/>
      <c r="S55" s="384"/>
      <c r="T55" s="384"/>
      <c r="U55" s="384"/>
      <c r="V55" s="384"/>
      <c r="W55" s="384"/>
      <c r="X55" s="384"/>
      <c r="Y55" s="384"/>
      <c r="Z55" s="384"/>
      <c r="AA55" s="384"/>
      <c r="AB55" s="339"/>
    </row>
    <row r="56" spans="2:28" ht="15" customHeight="1" x14ac:dyDescent="0.3">
      <c r="N56" s="384"/>
      <c r="O56" s="384"/>
      <c r="P56" s="384"/>
      <c r="Q56" s="384"/>
      <c r="R56" s="384"/>
      <c r="S56" s="384"/>
      <c r="T56" s="384"/>
      <c r="U56" s="384"/>
      <c r="V56" s="384"/>
      <c r="W56" s="384"/>
      <c r="X56" s="384"/>
      <c r="Y56" s="384"/>
      <c r="Z56" s="384"/>
      <c r="AA56" s="384"/>
      <c r="AB56" s="339"/>
    </row>
    <row r="57" spans="2:28" ht="15" customHeight="1" x14ac:dyDescent="0.3">
      <c r="N57" s="384"/>
      <c r="O57" s="384"/>
      <c r="P57" s="384"/>
      <c r="Q57" s="384"/>
      <c r="R57" s="384"/>
      <c r="S57" s="384"/>
      <c r="T57" s="384"/>
      <c r="U57" s="384"/>
      <c r="V57" s="384"/>
      <c r="W57" s="384"/>
      <c r="X57" s="384"/>
      <c r="Y57" s="384"/>
      <c r="Z57" s="384"/>
      <c r="AA57" s="384"/>
      <c r="AB57" s="339"/>
    </row>
    <row r="58" spans="2:28" ht="15" customHeight="1" x14ac:dyDescent="0.3">
      <c r="N58" s="384"/>
      <c r="O58" s="384"/>
      <c r="P58" s="384"/>
      <c r="Q58" s="384"/>
      <c r="R58" s="384"/>
      <c r="S58" s="384"/>
      <c r="T58" s="384"/>
      <c r="U58" s="384"/>
      <c r="V58" s="384"/>
      <c r="W58" s="384"/>
      <c r="X58" s="384"/>
      <c r="Y58" s="384"/>
      <c r="Z58" s="384"/>
      <c r="AA58" s="384"/>
      <c r="AB58" s="339"/>
    </row>
    <row r="59" spans="2:28" ht="15" customHeight="1" x14ac:dyDescent="0.3">
      <c r="N59" s="384"/>
      <c r="O59" s="384"/>
      <c r="P59" s="384"/>
      <c r="Q59" s="384"/>
      <c r="R59" s="384"/>
      <c r="S59" s="384"/>
      <c r="T59" s="384"/>
      <c r="U59" s="384"/>
      <c r="V59" s="384"/>
      <c r="W59" s="384"/>
      <c r="X59" s="384"/>
      <c r="Y59" s="384"/>
      <c r="Z59" s="384"/>
      <c r="AA59" s="384"/>
      <c r="AB59" s="339"/>
    </row>
    <row r="60" spans="2:28" ht="15" customHeight="1" x14ac:dyDescent="0.3">
      <c r="N60" s="384"/>
      <c r="O60" s="384"/>
      <c r="P60" s="384"/>
      <c r="Q60" s="384"/>
      <c r="R60" s="384"/>
      <c r="S60" s="384"/>
      <c r="T60" s="384"/>
      <c r="U60" s="384"/>
      <c r="V60" s="384"/>
      <c r="W60" s="384"/>
      <c r="X60" s="384"/>
      <c r="Y60" s="384"/>
      <c r="Z60" s="384"/>
      <c r="AA60" s="384"/>
      <c r="AB60" s="339"/>
    </row>
    <row r="61" spans="2:28" ht="15" customHeight="1" x14ac:dyDescent="0.3">
      <c r="N61" s="384"/>
      <c r="O61" s="384"/>
      <c r="P61" s="384"/>
      <c r="Q61" s="384"/>
      <c r="R61" s="384"/>
      <c r="S61" s="384"/>
      <c r="T61" s="384"/>
      <c r="U61" s="384"/>
      <c r="V61" s="384"/>
      <c r="W61" s="384"/>
      <c r="X61" s="384"/>
      <c r="Y61" s="384"/>
      <c r="Z61" s="384"/>
      <c r="AA61" s="384"/>
      <c r="AB61" s="339"/>
    </row>
    <row r="62" spans="2:28" ht="15" customHeight="1" x14ac:dyDescent="0.3">
      <c r="N62" s="384"/>
      <c r="O62" s="384"/>
      <c r="P62" s="384"/>
      <c r="Q62" s="384"/>
      <c r="R62" s="384"/>
      <c r="S62" s="384"/>
      <c r="T62" s="384"/>
      <c r="U62" s="384"/>
      <c r="V62" s="384"/>
      <c r="W62" s="384"/>
      <c r="X62" s="384"/>
      <c r="Y62" s="384"/>
      <c r="Z62" s="384"/>
      <c r="AA62" s="384"/>
      <c r="AB62" s="339"/>
    </row>
    <row r="63" spans="2:28" ht="15" customHeight="1" x14ac:dyDescent="0.3">
      <c r="N63" s="384"/>
      <c r="O63" s="384"/>
      <c r="P63" s="384"/>
      <c r="Q63" s="384"/>
      <c r="R63" s="384"/>
      <c r="S63" s="384"/>
      <c r="T63" s="384"/>
      <c r="U63" s="384"/>
      <c r="V63" s="384"/>
      <c r="W63" s="384"/>
      <c r="X63" s="384"/>
      <c r="Y63" s="384"/>
      <c r="Z63" s="384"/>
      <c r="AA63" s="384"/>
      <c r="AB63" s="339"/>
    </row>
    <row r="64" spans="2:28" ht="15" customHeight="1" x14ac:dyDescent="0.3">
      <c r="N64" s="384"/>
      <c r="O64" s="384"/>
      <c r="P64" s="384"/>
      <c r="Q64" s="384"/>
      <c r="R64" s="384"/>
      <c r="S64" s="384"/>
      <c r="T64" s="384"/>
      <c r="U64" s="384"/>
      <c r="V64" s="384"/>
      <c r="W64" s="384"/>
      <c r="X64" s="384"/>
      <c r="Y64" s="384"/>
      <c r="Z64" s="384"/>
      <c r="AA64" s="384"/>
      <c r="AB64" s="339"/>
    </row>
    <row r="65" spans="14:28" ht="15" customHeight="1" x14ac:dyDescent="0.3">
      <c r="N65" s="384"/>
      <c r="O65" s="384"/>
      <c r="P65" s="384"/>
      <c r="Q65" s="384"/>
      <c r="R65" s="384"/>
      <c r="S65" s="384"/>
      <c r="T65" s="384"/>
      <c r="U65" s="384"/>
      <c r="V65" s="384"/>
      <c r="W65" s="384"/>
      <c r="X65" s="384"/>
      <c r="Y65" s="384"/>
      <c r="Z65" s="384"/>
      <c r="AA65" s="384"/>
      <c r="AB65" s="339"/>
    </row>
    <row r="66" spans="14:28" ht="12.45" customHeight="1" x14ac:dyDescent="0.3">
      <c r="N66" s="384"/>
      <c r="O66" s="384"/>
      <c r="P66" s="384"/>
      <c r="Q66" s="384"/>
      <c r="R66" s="384"/>
      <c r="S66" s="384"/>
      <c r="T66" s="384"/>
      <c r="U66" s="384"/>
      <c r="V66" s="384"/>
      <c r="W66" s="384"/>
      <c r="X66" s="384"/>
      <c r="Y66" s="384"/>
      <c r="Z66" s="384"/>
      <c r="AA66" s="384"/>
      <c r="AB66" s="339"/>
    </row>
    <row r="67" spans="14:28" ht="26.55" customHeight="1" x14ac:dyDescent="0.3">
      <c r="N67" s="384"/>
      <c r="O67" s="384"/>
      <c r="P67" s="384"/>
      <c r="Q67" s="384"/>
      <c r="R67" s="384"/>
      <c r="S67" s="384"/>
      <c r="T67" s="384"/>
      <c r="U67" s="384"/>
      <c r="V67" s="384"/>
      <c r="W67" s="384"/>
      <c r="X67" s="384"/>
      <c r="Y67" s="384"/>
      <c r="Z67" s="384"/>
      <c r="AA67" s="384"/>
      <c r="AB67" s="339"/>
    </row>
    <row r="68" spans="14:28" ht="15" customHeight="1" x14ac:dyDescent="0.3">
      <c r="N68" s="384"/>
      <c r="O68" s="384"/>
      <c r="P68" s="384"/>
      <c r="Q68" s="384"/>
      <c r="R68" s="384"/>
      <c r="S68" s="384"/>
      <c r="T68" s="384"/>
      <c r="U68" s="384"/>
      <c r="V68" s="384"/>
      <c r="W68" s="384"/>
      <c r="X68" s="384"/>
      <c r="Y68" s="384"/>
      <c r="Z68" s="384"/>
      <c r="AA68" s="384"/>
      <c r="AB68" s="340"/>
    </row>
    <row r="69" spans="14:28" ht="15" customHeight="1" x14ac:dyDescent="0.3">
      <c r="N69" s="384"/>
      <c r="O69" s="384"/>
      <c r="P69" s="384"/>
      <c r="Q69" s="384"/>
      <c r="R69" s="384"/>
      <c r="S69" s="384"/>
      <c r="T69" s="384"/>
      <c r="U69" s="384"/>
      <c r="V69" s="384"/>
      <c r="W69" s="384"/>
      <c r="X69" s="384"/>
      <c r="Y69" s="384"/>
      <c r="Z69" s="384"/>
      <c r="AA69" s="384"/>
      <c r="AB69" s="340"/>
    </row>
    <row r="70" spans="14:28" ht="15" customHeight="1" x14ac:dyDescent="0.3">
      <c r="N70" s="384" t="s">
        <v>849</v>
      </c>
      <c r="O70" s="384"/>
      <c r="P70" s="384"/>
      <c r="Q70" s="384"/>
      <c r="R70" s="384"/>
      <c r="S70" s="384"/>
      <c r="T70" s="384"/>
      <c r="U70" s="384"/>
      <c r="V70" s="384"/>
      <c r="W70" s="384"/>
      <c r="X70" s="384"/>
      <c r="Y70" s="384"/>
      <c r="Z70" s="384"/>
      <c r="AA70" s="384"/>
      <c r="AB70" s="340"/>
    </row>
    <row r="71" spans="14:28" ht="15" customHeight="1" x14ac:dyDescent="0.3">
      <c r="N71" s="384"/>
      <c r="O71" s="384"/>
      <c r="P71" s="384"/>
      <c r="Q71" s="384"/>
      <c r="R71" s="384"/>
      <c r="S71" s="384"/>
      <c r="T71" s="384"/>
      <c r="U71" s="384"/>
      <c r="V71" s="384"/>
      <c r="W71" s="384"/>
      <c r="X71" s="384"/>
      <c r="Y71" s="384"/>
      <c r="Z71" s="384"/>
      <c r="AA71" s="384"/>
      <c r="AB71" s="340"/>
    </row>
    <row r="72" spans="14:28" ht="15" customHeight="1" x14ac:dyDescent="0.3">
      <c r="N72" s="384"/>
      <c r="O72" s="384"/>
      <c r="P72" s="384"/>
      <c r="Q72" s="384"/>
      <c r="R72" s="384"/>
      <c r="S72" s="384"/>
      <c r="T72" s="384"/>
      <c r="U72" s="384"/>
      <c r="V72" s="384"/>
      <c r="W72" s="384"/>
      <c r="X72" s="384"/>
      <c r="Y72" s="384"/>
      <c r="Z72" s="384"/>
      <c r="AA72" s="384"/>
      <c r="AB72" s="340"/>
    </row>
    <row r="73" spans="14:28" ht="15" customHeight="1" x14ac:dyDescent="0.3">
      <c r="N73" s="384"/>
      <c r="O73" s="384"/>
      <c r="P73" s="384"/>
      <c r="Q73" s="384"/>
      <c r="R73" s="384"/>
      <c r="S73" s="384"/>
      <c r="T73" s="384"/>
      <c r="U73" s="384"/>
      <c r="V73" s="384"/>
      <c r="W73" s="384"/>
      <c r="X73" s="384"/>
      <c r="Y73" s="384"/>
      <c r="Z73" s="384"/>
      <c r="AA73" s="384"/>
      <c r="AB73" s="340"/>
    </row>
    <row r="74" spans="14:28" ht="15" customHeight="1" x14ac:dyDescent="0.3">
      <c r="N74" s="384"/>
      <c r="O74" s="384"/>
      <c r="P74" s="384"/>
      <c r="Q74" s="384"/>
      <c r="R74" s="384"/>
      <c r="S74" s="384"/>
      <c r="T74" s="384"/>
      <c r="U74" s="384"/>
      <c r="V74" s="384"/>
      <c r="W74" s="384"/>
      <c r="X74" s="384"/>
      <c r="Y74" s="384"/>
      <c r="Z74" s="384"/>
      <c r="AA74" s="384"/>
      <c r="AB74" s="340"/>
    </row>
    <row r="75" spans="14:28" ht="15" customHeight="1" x14ac:dyDescent="0.3">
      <c r="N75" s="384"/>
      <c r="O75" s="384"/>
      <c r="P75" s="384"/>
      <c r="Q75" s="384"/>
      <c r="R75" s="384"/>
      <c r="S75" s="384"/>
      <c r="T75" s="384"/>
      <c r="U75" s="384"/>
      <c r="V75" s="384"/>
      <c r="W75" s="384"/>
      <c r="X75" s="384"/>
      <c r="Y75" s="384"/>
      <c r="Z75" s="384"/>
      <c r="AA75" s="384"/>
      <c r="AB75" s="340"/>
    </row>
    <row r="76" spans="14:28" ht="15" customHeight="1" x14ac:dyDescent="0.3">
      <c r="N76" s="383" t="s">
        <v>850</v>
      </c>
      <c r="O76" s="383"/>
      <c r="P76" s="383"/>
      <c r="Q76" s="383"/>
      <c r="R76" s="383"/>
      <c r="S76" s="383"/>
      <c r="T76" s="383"/>
      <c r="U76" s="383"/>
      <c r="V76" s="383"/>
      <c r="W76" s="383"/>
      <c r="X76" s="383"/>
      <c r="Y76" s="383"/>
      <c r="Z76" s="383"/>
      <c r="AA76" s="383"/>
      <c r="AB76" s="340"/>
    </row>
    <row r="77" spans="14:28" ht="15" customHeight="1" x14ac:dyDescent="0.3">
      <c r="N77" s="383"/>
      <c r="O77" s="383"/>
      <c r="P77" s="383"/>
      <c r="Q77" s="383"/>
      <c r="R77" s="383"/>
      <c r="S77" s="383"/>
      <c r="T77" s="383"/>
      <c r="U77" s="383"/>
      <c r="V77" s="383"/>
      <c r="W77" s="383"/>
      <c r="X77" s="383"/>
      <c r="Y77" s="383"/>
      <c r="Z77" s="383"/>
      <c r="AA77" s="383"/>
      <c r="AB77" s="340"/>
    </row>
    <row r="78" spans="14:28" ht="15" customHeight="1" x14ac:dyDescent="0.3">
      <c r="N78" s="383"/>
      <c r="O78" s="383"/>
      <c r="P78" s="383"/>
      <c r="Q78" s="383"/>
      <c r="R78" s="383"/>
      <c r="S78" s="383"/>
      <c r="T78" s="383"/>
      <c r="U78" s="383"/>
      <c r="V78" s="383"/>
      <c r="W78" s="383"/>
      <c r="X78" s="383"/>
      <c r="Y78" s="383"/>
      <c r="Z78" s="383"/>
      <c r="AA78" s="383"/>
      <c r="AB78" s="340"/>
    </row>
    <row r="79" spans="14:28" ht="15" customHeight="1" x14ac:dyDescent="0.3">
      <c r="N79" s="383"/>
      <c r="O79" s="383"/>
      <c r="P79" s="383"/>
      <c r="Q79" s="383"/>
      <c r="R79" s="383"/>
      <c r="S79" s="383"/>
      <c r="T79" s="383"/>
      <c r="U79" s="383"/>
      <c r="V79" s="383"/>
      <c r="W79" s="383"/>
      <c r="X79" s="383"/>
      <c r="Y79" s="383"/>
      <c r="Z79" s="383"/>
      <c r="AA79" s="383"/>
      <c r="AB79" s="340"/>
    </row>
    <row r="80" spans="14:28" ht="15" customHeight="1" x14ac:dyDescent="0.3">
      <c r="N80" s="383"/>
      <c r="O80" s="383"/>
      <c r="P80" s="383"/>
      <c r="Q80" s="383"/>
      <c r="R80" s="383"/>
      <c r="S80" s="383"/>
      <c r="T80" s="383"/>
      <c r="U80" s="383"/>
      <c r="V80" s="383"/>
      <c r="W80" s="383"/>
      <c r="X80" s="383"/>
      <c r="Y80" s="383"/>
      <c r="Z80" s="383"/>
      <c r="AA80" s="383"/>
      <c r="AB80" s="340"/>
    </row>
    <row r="81" spans="14:28" ht="15" customHeight="1" x14ac:dyDescent="0.3">
      <c r="N81" s="383"/>
      <c r="O81" s="383"/>
      <c r="P81" s="383"/>
      <c r="Q81" s="383"/>
      <c r="R81" s="383"/>
      <c r="S81" s="383"/>
      <c r="T81" s="383"/>
      <c r="U81" s="383"/>
      <c r="V81" s="383"/>
      <c r="W81" s="383"/>
      <c r="X81" s="383"/>
      <c r="Y81" s="383"/>
      <c r="Z81" s="383"/>
      <c r="AA81" s="383"/>
      <c r="AB81" s="340"/>
    </row>
    <row r="82" spans="14:28" ht="15" customHeight="1" x14ac:dyDescent="0.3">
      <c r="N82" s="383"/>
      <c r="O82" s="383"/>
      <c r="P82" s="383"/>
      <c r="Q82" s="383"/>
      <c r="R82" s="383"/>
      <c r="S82" s="383"/>
      <c r="T82" s="383"/>
      <c r="U82" s="383"/>
      <c r="V82" s="383"/>
      <c r="W82" s="383"/>
      <c r="X82" s="383"/>
      <c r="Y82" s="383"/>
      <c r="Z82" s="383"/>
      <c r="AA82" s="383"/>
      <c r="AB82" s="340"/>
    </row>
    <row r="83" spans="14:28" ht="15" customHeight="1" x14ac:dyDescent="0.3">
      <c r="N83" s="383"/>
      <c r="O83" s="383"/>
      <c r="P83" s="383"/>
      <c r="Q83" s="383"/>
      <c r="R83" s="383"/>
      <c r="S83" s="383"/>
      <c r="T83" s="383"/>
      <c r="U83" s="383"/>
      <c r="V83" s="383"/>
      <c r="W83" s="383"/>
      <c r="X83" s="383"/>
      <c r="Y83" s="383"/>
      <c r="Z83" s="383"/>
      <c r="AA83" s="383"/>
      <c r="AB83" s="340"/>
    </row>
    <row r="84" spans="14:28" ht="15" customHeight="1" x14ac:dyDescent="0.3">
      <c r="N84" s="383"/>
      <c r="O84" s="383"/>
      <c r="P84" s="383"/>
      <c r="Q84" s="383"/>
      <c r="R84" s="383"/>
      <c r="S84" s="383"/>
      <c r="T84" s="383"/>
      <c r="U84" s="383"/>
      <c r="V84" s="383"/>
      <c r="W84" s="383"/>
      <c r="X84" s="383"/>
      <c r="Y84" s="383"/>
      <c r="Z84" s="383"/>
      <c r="AA84" s="383"/>
      <c r="AB84" s="340"/>
    </row>
    <row r="85" spans="14:28" ht="15" customHeight="1" x14ac:dyDescent="0.3">
      <c r="N85" s="383"/>
      <c r="O85" s="383"/>
      <c r="P85" s="383"/>
      <c r="Q85" s="383"/>
      <c r="R85" s="383"/>
      <c r="S85" s="383"/>
      <c r="T85" s="383"/>
      <c r="U85" s="383"/>
      <c r="V85" s="383"/>
      <c r="W85" s="383"/>
      <c r="X85" s="383"/>
      <c r="Y85" s="383"/>
      <c r="Z85" s="383"/>
      <c r="AA85" s="383"/>
    </row>
    <row r="86" spans="14:28" ht="15" customHeight="1" x14ac:dyDescent="0.3">
      <c r="N86" s="340"/>
      <c r="O86" s="340"/>
      <c r="P86" s="340"/>
      <c r="Q86" s="340"/>
      <c r="R86" s="340"/>
      <c r="S86" s="340"/>
      <c r="T86" s="340"/>
      <c r="U86" s="340"/>
      <c r="V86" s="340"/>
      <c r="W86" s="340"/>
      <c r="X86" s="340"/>
      <c r="Y86" s="340"/>
      <c r="Z86" s="340"/>
      <c r="AA86" s="340"/>
    </row>
    <row r="87" spans="14:28" ht="15" customHeight="1" x14ac:dyDescent="0.3">
      <c r="N87" s="340"/>
      <c r="O87" s="340"/>
      <c r="P87" s="340"/>
      <c r="Q87" s="340"/>
      <c r="R87" s="340"/>
      <c r="S87" s="340"/>
      <c r="T87" s="340"/>
      <c r="U87" s="340"/>
      <c r="V87" s="340"/>
      <c r="W87" s="340"/>
      <c r="X87" s="340"/>
      <c r="Y87" s="340"/>
      <c r="Z87" s="340"/>
      <c r="AA87" s="340"/>
    </row>
    <row r="88" spans="14:28" ht="15" customHeight="1" x14ac:dyDescent="0.3">
      <c r="N88" s="340"/>
      <c r="O88" s="340"/>
      <c r="P88" s="340"/>
      <c r="Q88" s="340"/>
      <c r="R88" s="340"/>
      <c r="S88" s="340"/>
      <c r="T88" s="340"/>
      <c r="U88" s="340"/>
      <c r="V88" s="340"/>
      <c r="W88" s="340"/>
      <c r="X88" s="340"/>
      <c r="Y88" s="340"/>
      <c r="Z88" s="340"/>
      <c r="AA88" s="340"/>
    </row>
    <row r="89" spans="14:28" ht="15" customHeight="1" x14ac:dyDescent="0.3">
      <c r="N89" s="340"/>
      <c r="O89" s="340"/>
      <c r="P89" s="340"/>
      <c r="Q89" s="340"/>
      <c r="R89" s="340"/>
      <c r="S89" s="340"/>
      <c r="T89" s="340"/>
      <c r="U89" s="340"/>
      <c r="V89" s="340"/>
      <c r="W89" s="340"/>
      <c r="X89" s="340"/>
      <c r="Y89" s="340"/>
      <c r="Z89" s="340"/>
      <c r="AA89" s="340"/>
    </row>
    <row r="90" spans="14:28" ht="15" customHeight="1" x14ac:dyDescent="0.3">
      <c r="N90" s="327"/>
      <c r="O90" s="327"/>
      <c r="P90" s="327"/>
      <c r="Q90" s="327"/>
      <c r="R90" s="327"/>
      <c r="S90" s="327"/>
      <c r="T90" s="327"/>
      <c r="U90" s="327"/>
      <c r="V90" s="327"/>
      <c r="W90" s="327"/>
      <c r="X90" s="327"/>
      <c r="Y90" s="327"/>
      <c r="Z90" s="327"/>
      <c r="AA90" s="327"/>
    </row>
    <row r="91" spans="14:28" ht="15" customHeight="1" x14ac:dyDescent="0.3">
      <c r="N91" s="327"/>
      <c r="O91" s="327"/>
      <c r="P91" s="327"/>
      <c r="Q91" s="327"/>
      <c r="R91" s="327"/>
      <c r="S91" s="327"/>
      <c r="T91" s="327"/>
      <c r="U91" s="327"/>
      <c r="V91" s="327"/>
      <c r="W91" s="327"/>
      <c r="X91" s="327"/>
      <c r="Y91" s="327"/>
      <c r="Z91" s="327"/>
      <c r="AA91" s="327"/>
    </row>
    <row r="92" spans="14:28" ht="15" customHeight="1" x14ac:dyDescent="0.3">
      <c r="N92" s="327"/>
      <c r="O92" s="327"/>
      <c r="P92" s="327"/>
      <c r="Q92" s="327"/>
      <c r="R92" s="327"/>
      <c r="S92" s="327"/>
      <c r="T92" s="327"/>
      <c r="U92" s="327"/>
      <c r="V92" s="327"/>
      <c r="W92" s="327"/>
      <c r="X92" s="327"/>
      <c r="Y92" s="327"/>
      <c r="Z92" s="327"/>
      <c r="AA92" s="327"/>
    </row>
    <row r="93" spans="14:28" ht="15" customHeight="1" x14ac:dyDescent="0.3">
      <c r="N93" s="327"/>
      <c r="O93" s="327"/>
      <c r="P93" s="327"/>
      <c r="Q93" s="327"/>
      <c r="R93" s="327"/>
      <c r="S93" s="327"/>
      <c r="T93" s="327"/>
      <c r="U93" s="327"/>
      <c r="V93" s="327"/>
      <c r="W93" s="327"/>
      <c r="X93" s="327"/>
      <c r="Y93" s="327"/>
      <c r="Z93" s="327"/>
      <c r="AA93" s="327"/>
    </row>
    <row r="94" spans="14:28" ht="15" customHeight="1" x14ac:dyDescent="0.3">
      <c r="N94" s="327"/>
      <c r="O94" s="327"/>
      <c r="P94" s="327"/>
      <c r="Q94" s="327"/>
      <c r="R94" s="327"/>
      <c r="S94" s="327"/>
      <c r="T94" s="327"/>
      <c r="U94" s="327"/>
      <c r="V94" s="327"/>
      <c r="W94" s="327"/>
      <c r="X94" s="327"/>
      <c r="Y94" s="327"/>
      <c r="Z94" s="327"/>
      <c r="AA94" s="327"/>
    </row>
    <row r="95" spans="14:28" ht="15" customHeight="1" x14ac:dyDescent="0.3">
      <c r="N95" s="327"/>
      <c r="O95" s="327"/>
      <c r="P95" s="327"/>
      <c r="Q95" s="327"/>
      <c r="R95" s="327"/>
      <c r="S95" s="327"/>
      <c r="T95" s="327"/>
      <c r="U95" s="327"/>
      <c r="V95" s="327"/>
      <c r="W95" s="327"/>
      <c r="X95" s="327"/>
      <c r="Y95" s="327"/>
      <c r="Z95" s="327"/>
      <c r="AA95" s="327"/>
    </row>
    <row r="96" spans="14:28" ht="15" customHeight="1" x14ac:dyDescent="0.3">
      <c r="N96" s="327"/>
      <c r="O96" s="327"/>
      <c r="P96" s="327"/>
      <c r="Q96" s="327"/>
      <c r="R96" s="327"/>
      <c r="S96" s="327"/>
      <c r="T96" s="327"/>
      <c r="U96" s="327"/>
      <c r="V96" s="327"/>
      <c r="W96" s="327"/>
      <c r="X96" s="327"/>
      <c r="Y96" s="327"/>
      <c r="Z96" s="327"/>
      <c r="AA96" s="327"/>
    </row>
    <row r="97" spans="14:27" ht="15" customHeight="1" x14ac:dyDescent="0.3">
      <c r="N97" s="327"/>
      <c r="O97" s="327"/>
      <c r="P97" s="327"/>
      <c r="Q97" s="327"/>
      <c r="R97" s="327"/>
      <c r="S97" s="327"/>
      <c r="T97" s="327"/>
      <c r="U97" s="327"/>
      <c r="V97" s="327"/>
      <c r="W97" s="327"/>
      <c r="X97" s="327"/>
      <c r="Y97" s="327"/>
      <c r="Z97" s="327"/>
      <c r="AA97" s="327"/>
    </row>
    <row r="98" spans="14:27" ht="15" customHeight="1" x14ac:dyDescent="0.3">
      <c r="N98" s="327"/>
      <c r="O98" s="327"/>
      <c r="P98" s="327"/>
      <c r="Q98" s="327"/>
      <c r="R98" s="327"/>
      <c r="S98" s="327"/>
      <c r="T98" s="327"/>
      <c r="U98" s="327"/>
      <c r="V98" s="327"/>
      <c r="W98" s="327"/>
      <c r="X98" s="327"/>
      <c r="Y98" s="327"/>
      <c r="Z98" s="327"/>
      <c r="AA98" s="327"/>
    </row>
    <row r="99" spans="14:27" ht="15" customHeight="1" x14ac:dyDescent="0.3">
      <c r="N99" s="327"/>
      <c r="O99" s="327"/>
      <c r="P99" s="327"/>
      <c r="Q99" s="327"/>
      <c r="R99" s="327"/>
      <c r="S99" s="327"/>
      <c r="T99" s="327"/>
      <c r="U99" s="327"/>
      <c r="V99" s="327"/>
      <c r="W99" s="327"/>
      <c r="X99" s="327"/>
      <c r="Y99" s="327"/>
      <c r="Z99" s="327"/>
      <c r="AA99" s="327"/>
    </row>
    <row r="100" spans="14:27" ht="15" customHeight="1" x14ac:dyDescent="0.3">
      <c r="N100" s="327"/>
      <c r="O100" s="327"/>
      <c r="P100" s="327"/>
      <c r="Q100" s="327"/>
      <c r="R100" s="327"/>
      <c r="S100" s="327"/>
      <c r="T100" s="327"/>
      <c r="U100" s="327"/>
      <c r="V100" s="327"/>
      <c r="W100" s="327"/>
      <c r="X100" s="327"/>
      <c r="Y100" s="327"/>
      <c r="Z100" s="327"/>
      <c r="AA100" s="327"/>
    </row>
    <row r="101" spans="14:27" ht="15" customHeight="1" x14ac:dyDescent="0.3">
      <c r="N101" s="327"/>
      <c r="O101" s="327"/>
      <c r="P101" s="327"/>
      <c r="Q101" s="327"/>
      <c r="R101" s="327"/>
      <c r="S101" s="327"/>
      <c r="T101" s="327"/>
      <c r="U101" s="327"/>
      <c r="V101" s="327"/>
      <c r="W101" s="327"/>
      <c r="X101" s="327"/>
      <c r="Y101" s="327"/>
      <c r="Z101" s="327"/>
      <c r="AA101" s="327"/>
    </row>
    <row r="102" spans="14:27" ht="15" customHeight="1" x14ac:dyDescent="0.3">
      <c r="N102" s="327"/>
      <c r="O102" s="327"/>
      <c r="P102" s="327"/>
      <c r="Q102" s="327"/>
      <c r="R102" s="327"/>
      <c r="S102" s="327"/>
      <c r="T102" s="327"/>
      <c r="U102" s="327"/>
      <c r="V102" s="327"/>
      <c r="W102" s="327"/>
      <c r="X102" s="327"/>
      <c r="Y102" s="327"/>
      <c r="Z102" s="327"/>
      <c r="AA102" s="327"/>
    </row>
    <row r="103" spans="14:27" ht="15" customHeight="1" x14ac:dyDescent="0.3">
      <c r="N103" s="327"/>
      <c r="O103" s="327"/>
      <c r="P103" s="327"/>
      <c r="Q103" s="327"/>
      <c r="R103" s="327"/>
      <c r="S103" s="327"/>
      <c r="T103" s="327"/>
      <c r="U103" s="327"/>
      <c r="V103" s="327"/>
      <c r="W103" s="327"/>
      <c r="X103" s="327"/>
      <c r="Y103" s="327"/>
      <c r="Z103" s="327"/>
      <c r="AA103" s="327"/>
    </row>
    <row r="104" spans="14:27" ht="15" customHeight="1" x14ac:dyDescent="0.3">
      <c r="N104" s="327"/>
      <c r="O104" s="327"/>
      <c r="P104" s="327"/>
      <c r="Q104" s="327"/>
      <c r="R104" s="327"/>
      <c r="S104" s="327"/>
      <c r="T104" s="327"/>
      <c r="U104" s="327"/>
      <c r="V104" s="327"/>
      <c r="W104" s="327"/>
      <c r="X104" s="327"/>
      <c r="Y104" s="327"/>
      <c r="Z104" s="327"/>
      <c r="AA104" s="327"/>
    </row>
    <row r="105" spans="14:27" ht="15" customHeight="1" x14ac:dyDescent="0.3">
      <c r="N105" s="327"/>
      <c r="O105" s="327"/>
      <c r="P105" s="327"/>
      <c r="Q105" s="327"/>
      <c r="R105" s="327"/>
      <c r="S105" s="327"/>
      <c r="T105" s="327"/>
      <c r="U105" s="327"/>
      <c r="V105" s="327"/>
      <c r="W105" s="327"/>
      <c r="X105" s="327"/>
      <c r="Y105" s="327"/>
      <c r="Z105" s="327"/>
      <c r="AA105" s="327"/>
    </row>
    <row r="106" spans="14:27" ht="15" customHeight="1" x14ac:dyDescent="0.3">
      <c r="N106" s="327"/>
      <c r="O106" s="327"/>
      <c r="P106" s="327"/>
      <c r="Q106" s="327"/>
      <c r="R106" s="327"/>
      <c r="S106" s="327"/>
      <c r="T106" s="327"/>
      <c r="U106" s="327"/>
      <c r="V106" s="327"/>
      <c r="W106" s="327"/>
      <c r="X106" s="327"/>
      <c r="Y106" s="327"/>
      <c r="Z106" s="327"/>
      <c r="AA106" s="327"/>
    </row>
    <row r="107" spans="14:27" ht="15" customHeight="1" x14ac:dyDescent="0.3">
      <c r="N107" s="327"/>
      <c r="O107" s="327"/>
      <c r="P107" s="327"/>
      <c r="Q107" s="327"/>
      <c r="R107" s="327"/>
      <c r="S107" s="327"/>
      <c r="T107" s="327"/>
      <c r="U107" s="327"/>
      <c r="V107" s="327"/>
      <c r="W107" s="327"/>
      <c r="X107" s="327"/>
      <c r="Y107" s="327"/>
      <c r="Z107" s="327"/>
      <c r="AA107" s="327"/>
    </row>
    <row r="108" spans="14:27" ht="15" customHeight="1" x14ac:dyDescent="0.3">
      <c r="N108" s="327"/>
      <c r="O108" s="327"/>
      <c r="P108" s="327"/>
      <c r="Q108" s="327"/>
      <c r="R108" s="327"/>
      <c r="S108" s="327"/>
      <c r="T108" s="327"/>
      <c r="U108" s="327"/>
      <c r="V108" s="327"/>
      <c r="W108" s="327"/>
      <c r="X108" s="327"/>
      <c r="Y108" s="327"/>
      <c r="Z108" s="327"/>
      <c r="AA108" s="327"/>
    </row>
    <row r="109" spans="14:27" ht="15" customHeight="1" x14ac:dyDescent="0.3">
      <c r="N109" s="327"/>
      <c r="O109" s="327"/>
      <c r="P109" s="327"/>
      <c r="Q109" s="327"/>
      <c r="R109" s="327"/>
      <c r="S109" s="327"/>
      <c r="T109" s="327"/>
      <c r="U109" s="327"/>
      <c r="V109" s="327"/>
      <c r="W109" s="327"/>
      <c r="X109" s="327"/>
      <c r="Y109" s="327"/>
      <c r="Z109" s="327"/>
      <c r="AA109" s="327"/>
    </row>
    <row r="110" spans="14:27" ht="15" customHeight="1" x14ac:dyDescent="0.3">
      <c r="N110" s="327"/>
      <c r="O110" s="327"/>
      <c r="P110" s="327"/>
      <c r="Q110" s="327"/>
      <c r="R110" s="327"/>
      <c r="S110" s="327"/>
      <c r="T110" s="327"/>
      <c r="U110" s="327"/>
      <c r="V110" s="327"/>
      <c r="W110" s="327"/>
      <c r="X110" s="327"/>
      <c r="Y110" s="327"/>
      <c r="Z110" s="327"/>
      <c r="AA110" s="327"/>
    </row>
    <row r="111" spans="14:27" ht="15" customHeight="1" x14ac:dyDescent="0.3">
      <c r="N111" s="327"/>
      <c r="O111" s="327"/>
      <c r="P111" s="327"/>
      <c r="Q111" s="327"/>
      <c r="R111" s="327"/>
      <c r="S111" s="327"/>
      <c r="T111" s="327"/>
      <c r="U111" s="327"/>
      <c r="V111" s="327"/>
      <c r="W111" s="327"/>
      <c r="X111" s="327"/>
      <c r="Y111" s="327"/>
      <c r="Z111" s="327"/>
      <c r="AA111" s="327"/>
    </row>
    <row r="112" spans="14:27" ht="15" customHeight="1" x14ac:dyDescent="0.3">
      <c r="N112" s="327"/>
      <c r="O112" s="327"/>
      <c r="P112" s="327"/>
      <c r="Q112" s="327"/>
      <c r="R112" s="327"/>
      <c r="S112" s="327"/>
      <c r="T112" s="327"/>
      <c r="U112" s="327"/>
      <c r="V112" s="327"/>
      <c r="W112" s="327"/>
      <c r="X112" s="327"/>
      <c r="Y112" s="327"/>
      <c r="Z112" s="327"/>
      <c r="AA112" s="327"/>
    </row>
    <row r="113" spans="14:27" ht="15" customHeight="1" x14ac:dyDescent="0.3">
      <c r="N113" s="327"/>
      <c r="O113" s="327"/>
      <c r="P113" s="327"/>
      <c r="Q113" s="327"/>
      <c r="R113" s="327"/>
      <c r="S113" s="327"/>
      <c r="T113" s="327"/>
      <c r="U113" s="327"/>
      <c r="V113" s="327"/>
      <c r="W113" s="327"/>
      <c r="X113" s="327"/>
      <c r="Y113" s="327"/>
      <c r="Z113" s="327"/>
      <c r="AA113" s="327"/>
    </row>
    <row r="114" spans="14:27" ht="15" customHeight="1" x14ac:dyDescent="0.3">
      <c r="N114" s="327"/>
      <c r="O114" s="327"/>
      <c r="P114" s="327"/>
      <c r="Q114" s="327"/>
      <c r="R114" s="327"/>
      <c r="S114" s="327"/>
      <c r="T114" s="327"/>
      <c r="U114" s="327"/>
      <c r="V114" s="327"/>
      <c r="W114" s="327"/>
      <c r="X114" s="327"/>
      <c r="Y114" s="327"/>
      <c r="Z114" s="327"/>
      <c r="AA114" s="327"/>
    </row>
    <row r="115" spans="14:27" ht="15" customHeight="1" x14ac:dyDescent="0.3">
      <c r="N115" s="327"/>
      <c r="O115" s="327"/>
      <c r="P115" s="327"/>
      <c r="Q115" s="327"/>
      <c r="R115" s="327"/>
      <c r="S115" s="327"/>
      <c r="T115" s="327"/>
      <c r="U115" s="327"/>
      <c r="V115" s="327"/>
      <c r="W115" s="327"/>
      <c r="X115" s="327"/>
      <c r="Y115" s="327"/>
      <c r="Z115" s="327"/>
      <c r="AA115" s="327"/>
    </row>
    <row r="116" spans="14:27" ht="15" customHeight="1" x14ac:dyDescent="0.3">
      <c r="N116" s="327"/>
      <c r="O116" s="327"/>
      <c r="P116" s="327"/>
      <c r="Q116" s="327"/>
      <c r="R116" s="327"/>
      <c r="S116" s="327"/>
      <c r="T116" s="327"/>
      <c r="U116" s="327"/>
      <c r="V116" s="327"/>
      <c r="W116" s="327"/>
      <c r="X116" s="327"/>
      <c r="Y116" s="327"/>
      <c r="Z116" s="327"/>
      <c r="AA116" s="327"/>
    </row>
    <row r="117" spans="14:27" ht="15" customHeight="1" x14ac:dyDescent="0.3">
      <c r="N117" s="327"/>
      <c r="O117" s="327"/>
      <c r="P117" s="327"/>
      <c r="Q117" s="327"/>
      <c r="R117" s="327"/>
      <c r="S117" s="327"/>
      <c r="T117" s="327"/>
      <c r="U117" s="327"/>
      <c r="V117" s="327"/>
      <c r="W117" s="327"/>
      <c r="X117" s="327"/>
      <c r="Y117" s="327"/>
      <c r="Z117" s="327"/>
      <c r="AA117" s="327"/>
    </row>
    <row r="118" spans="14:27" ht="15" customHeight="1" x14ac:dyDescent="0.3">
      <c r="N118" s="327"/>
      <c r="O118" s="327"/>
      <c r="P118" s="327"/>
      <c r="Q118" s="327"/>
      <c r="R118" s="327"/>
      <c r="S118" s="327"/>
      <c r="T118" s="327"/>
      <c r="U118" s="327"/>
      <c r="V118" s="327"/>
      <c r="W118" s="327"/>
      <c r="X118" s="327"/>
      <c r="Y118" s="327"/>
      <c r="Z118" s="327"/>
      <c r="AA118" s="327"/>
    </row>
    <row r="119" spans="14:27" ht="15" customHeight="1" x14ac:dyDescent="0.3">
      <c r="N119" s="327"/>
      <c r="O119" s="327"/>
      <c r="P119" s="327"/>
      <c r="Q119" s="327"/>
      <c r="R119" s="327"/>
      <c r="S119" s="327"/>
      <c r="T119" s="327"/>
      <c r="U119" s="327"/>
      <c r="V119" s="327"/>
      <c r="W119" s="327"/>
      <c r="X119" s="327"/>
      <c r="Y119" s="327"/>
      <c r="Z119" s="327"/>
      <c r="AA119" s="327"/>
    </row>
    <row r="120" spans="14:27" ht="15" customHeight="1" x14ac:dyDescent="0.3">
      <c r="N120" s="327"/>
      <c r="O120" s="327"/>
      <c r="P120" s="327"/>
      <c r="Q120" s="327"/>
      <c r="R120" s="327"/>
      <c r="S120" s="327"/>
      <c r="T120" s="327"/>
      <c r="U120" s="327"/>
      <c r="V120" s="327"/>
      <c r="W120" s="327"/>
      <c r="X120" s="327"/>
      <c r="Y120" s="327"/>
      <c r="Z120" s="327"/>
      <c r="AA120" s="327"/>
    </row>
    <row r="121" spans="14:27" ht="15" customHeight="1" x14ac:dyDescent="0.3">
      <c r="N121" s="327"/>
      <c r="O121" s="327"/>
      <c r="P121" s="327"/>
      <c r="Q121" s="327"/>
      <c r="R121" s="327"/>
      <c r="S121" s="327"/>
      <c r="T121" s="327"/>
      <c r="U121" s="327"/>
      <c r="V121" s="327"/>
      <c r="W121" s="327"/>
      <c r="X121" s="327"/>
      <c r="Y121" s="327"/>
      <c r="Z121" s="327"/>
      <c r="AA121" s="327"/>
    </row>
    <row r="122" spans="14:27" ht="15" customHeight="1" x14ac:dyDescent="0.3">
      <c r="N122" s="327"/>
      <c r="O122" s="327"/>
      <c r="P122" s="327"/>
      <c r="Q122" s="327"/>
      <c r="R122" s="327"/>
      <c r="S122" s="327"/>
      <c r="T122" s="327"/>
      <c r="U122" s="327"/>
      <c r="V122" s="327"/>
      <c r="W122" s="327"/>
      <c r="X122" s="327"/>
      <c r="Y122" s="327"/>
      <c r="Z122" s="327"/>
      <c r="AA122" s="327"/>
    </row>
    <row r="123" spans="14:27" ht="15" customHeight="1" x14ac:dyDescent="0.3">
      <c r="N123" s="327"/>
      <c r="O123" s="327"/>
      <c r="P123" s="327"/>
      <c r="Q123" s="327"/>
      <c r="R123" s="327"/>
      <c r="S123" s="327"/>
      <c r="T123" s="327"/>
      <c r="U123" s="327"/>
      <c r="V123" s="327"/>
      <c r="W123" s="327"/>
      <c r="X123" s="327"/>
      <c r="Y123" s="327"/>
      <c r="Z123" s="327"/>
      <c r="AA123" s="327"/>
    </row>
    <row r="124" spans="14:27" ht="15" customHeight="1" x14ac:dyDescent="0.3">
      <c r="N124" s="327"/>
      <c r="O124" s="327"/>
      <c r="P124" s="327"/>
      <c r="Q124" s="327"/>
      <c r="R124" s="327"/>
      <c r="S124" s="327"/>
      <c r="T124" s="327"/>
      <c r="U124" s="327"/>
      <c r="V124" s="327"/>
      <c r="W124" s="327"/>
      <c r="X124" s="327"/>
      <c r="Y124" s="327"/>
      <c r="Z124" s="327"/>
      <c r="AA124" s="327"/>
    </row>
    <row r="125" spans="14:27" ht="15" customHeight="1" x14ac:dyDescent="0.3">
      <c r="N125" s="327"/>
      <c r="O125" s="327"/>
      <c r="P125" s="327"/>
      <c r="Q125" s="327"/>
      <c r="R125" s="327"/>
      <c r="S125" s="327"/>
      <c r="T125" s="327"/>
      <c r="U125" s="327"/>
      <c r="V125" s="327"/>
      <c r="W125" s="327"/>
      <c r="X125" s="327"/>
      <c r="Y125" s="327"/>
      <c r="Z125" s="327"/>
      <c r="AA125" s="327"/>
    </row>
    <row r="126" spans="14:27" ht="15" customHeight="1" x14ac:dyDescent="0.3">
      <c r="N126" s="327"/>
      <c r="O126" s="327"/>
      <c r="P126" s="327"/>
      <c r="Q126" s="327"/>
      <c r="R126" s="327"/>
      <c r="S126" s="327"/>
      <c r="T126" s="327"/>
      <c r="U126" s="327"/>
      <c r="V126" s="327"/>
      <c r="W126" s="327"/>
      <c r="X126" s="327"/>
      <c r="Y126" s="327"/>
      <c r="Z126" s="327"/>
      <c r="AA126" s="327"/>
    </row>
    <row r="127" spans="14:27" ht="15" customHeight="1" x14ac:dyDescent="0.3">
      <c r="N127" s="327"/>
      <c r="O127" s="327"/>
      <c r="P127" s="327"/>
      <c r="Q127" s="327"/>
      <c r="R127" s="327"/>
      <c r="S127" s="327"/>
      <c r="T127" s="327"/>
      <c r="U127" s="327"/>
      <c r="V127" s="327"/>
      <c r="W127" s="327"/>
      <c r="X127" s="327"/>
      <c r="Y127" s="327"/>
      <c r="Z127" s="327"/>
      <c r="AA127" s="327"/>
    </row>
    <row r="128" spans="14:27" ht="15" customHeight="1" x14ac:dyDescent="0.3">
      <c r="N128" s="327"/>
      <c r="O128" s="327"/>
      <c r="P128" s="327"/>
      <c r="Q128" s="327"/>
      <c r="R128" s="327"/>
      <c r="S128" s="327"/>
      <c r="T128" s="327"/>
      <c r="U128" s="327"/>
      <c r="V128" s="327"/>
      <c r="W128" s="327"/>
      <c r="X128" s="327"/>
      <c r="Y128" s="327"/>
      <c r="Z128" s="327"/>
      <c r="AA128" s="327"/>
    </row>
    <row r="129" spans="14:27" ht="15" customHeight="1" x14ac:dyDescent="0.3">
      <c r="N129" s="327"/>
      <c r="O129" s="327"/>
      <c r="P129" s="327"/>
      <c r="Q129" s="327"/>
      <c r="R129" s="327"/>
      <c r="S129" s="327"/>
      <c r="T129" s="327"/>
      <c r="U129" s="327"/>
      <c r="V129" s="327"/>
      <c r="W129" s="327"/>
      <c r="X129" s="327"/>
      <c r="Y129" s="327"/>
      <c r="Z129" s="327"/>
      <c r="AA129" s="327"/>
    </row>
    <row r="130" spans="14:27" ht="15" customHeight="1" x14ac:dyDescent="0.3">
      <c r="N130" s="327"/>
      <c r="O130" s="327"/>
      <c r="P130" s="327"/>
      <c r="Q130" s="327"/>
      <c r="R130" s="327"/>
      <c r="S130" s="327"/>
      <c r="T130" s="327"/>
      <c r="U130" s="327"/>
      <c r="V130" s="327"/>
      <c r="W130" s="327"/>
      <c r="X130" s="327"/>
      <c r="Y130" s="327"/>
      <c r="Z130" s="327"/>
      <c r="AA130" s="327"/>
    </row>
    <row r="131" spans="14:27" ht="15" customHeight="1" x14ac:dyDescent="0.3">
      <c r="N131" s="327"/>
      <c r="O131" s="327"/>
      <c r="P131" s="327"/>
      <c r="Q131" s="327"/>
      <c r="R131" s="327"/>
      <c r="S131" s="327"/>
      <c r="T131" s="327"/>
      <c r="U131" s="327"/>
      <c r="V131" s="327"/>
      <c r="W131" s="327"/>
      <c r="X131" s="327"/>
      <c r="Y131" s="327"/>
      <c r="Z131" s="327"/>
      <c r="AA131" s="327"/>
    </row>
    <row r="132" spans="14:27" ht="15" customHeight="1" x14ac:dyDescent="0.3">
      <c r="N132" s="327"/>
      <c r="O132" s="327"/>
      <c r="P132" s="327"/>
      <c r="Q132" s="327"/>
      <c r="R132" s="327"/>
      <c r="S132" s="327"/>
      <c r="T132" s="327"/>
      <c r="U132" s="327"/>
      <c r="V132" s="327"/>
      <c r="W132" s="327"/>
      <c r="X132" s="327"/>
      <c r="Y132" s="327"/>
      <c r="Z132" s="327"/>
      <c r="AA132" s="327"/>
    </row>
    <row r="133" spans="14:27" ht="15" customHeight="1" x14ac:dyDescent="0.3">
      <c r="N133" s="327"/>
      <c r="O133" s="327"/>
      <c r="P133" s="327"/>
      <c r="Q133" s="327"/>
      <c r="R133" s="327"/>
      <c r="S133" s="327"/>
      <c r="T133" s="327"/>
      <c r="U133" s="327"/>
      <c r="V133" s="327"/>
      <c r="W133" s="327"/>
      <c r="X133" s="327"/>
      <c r="Y133" s="327"/>
      <c r="Z133" s="327"/>
      <c r="AA133" s="327"/>
    </row>
    <row r="134" spans="14:27" ht="15" customHeight="1" x14ac:dyDescent="0.3">
      <c r="N134" s="327"/>
      <c r="O134" s="327"/>
      <c r="P134" s="327"/>
      <c r="Q134" s="327"/>
      <c r="R134" s="327"/>
      <c r="S134" s="327"/>
      <c r="T134" s="327"/>
      <c r="U134" s="327"/>
      <c r="V134" s="327"/>
      <c r="W134" s="327"/>
      <c r="X134" s="327"/>
      <c r="Y134" s="327"/>
      <c r="Z134" s="327"/>
      <c r="AA134" s="327"/>
    </row>
    <row r="135" spans="14:27" ht="15" customHeight="1" x14ac:dyDescent="0.3">
      <c r="N135" s="327"/>
      <c r="O135" s="327"/>
      <c r="P135" s="327"/>
      <c r="Q135" s="327"/>
      <c r="R135" s="327"/>
      <c r="S135" s="327"/>
      <c r="T135" s="327"/>
      <c r="U135" s="327"/>
      <c r="V135" s="327"/>
      <c r="W135" s="327"/>
      <c r="X135" s="327"/>
      <c r="Y135" s="327"/>
      <c r="Z135" s="327"/>
      <c r="AA135" s="327"/>
    </row>
    <row r="136" spans="14:27" ht="15" customHeight="1" x14ac:dyDescent="0.3">
      <c r="N136" s="327"/>
      <c r="O136" s="327"/>
      <c r="P136" s="327"/>
      <c r="Q136" s="327"/>
      <c r="R136" s="327"/>
      <c r="S136" s="327"/>
      <c r="T136" s="327"/>
      <c r="U136" s="327"/>
      <c r="V136" s="327"/>
      <c r="W136" s="327"/>
      <c r="X136" s="327"/>
      <c r="Y136" s="327"/>
      <c r="Z136" s="327"/>
      <c r="AA136" s="327"/>
    </row>
    <row r="137" spans="14:27" ht="15" customHeight="1" x14ac:dyDescent="0.3">
      <c r="N137" s="327"/>
      <c r="O137" s="327"/>
      <c r="P137" s="327"/>
      <c r="Q137" s="327"/>
      <c r="R137" s="327"/>
      <c r="S137" s="327"/>
      <c r="T137" s="327"/>
      <c r="U137" s="327"/>
      <c r="V137" s="327"/>
      <c r="W137" s="327"/>
      <c r="X137" s="327"/>
      <c r="Y137" s="327"/>
      <c r="Z137" s="327"/>
      <c r="AA137" s="327"/>
    </row>
    <row r="138" spans="14:27" ht="15" customHeight="1" x14ac:dyDescent="0.3">
      <c r="N138" s="327"/>
      <c r="O138" s="327"/>
      <c r="P138" s="327"/>
      <c r="Q138" s="327"/>
      <c r="R138" s="327"/>
      <c r="S138" s="327"/>
      <c r="T138" s="327"/>
      <c r="U138" s="327"/>
      <c r="V138" s="327"/>
      <c r="W138" s="327"/>
      <c r="X138" s="327"/>
      <c r="Y138" s="327"/>
      <c r="Z138" s="327"/>
      <c r="AA138" s="327"/>
    </row>
    <row r="139" spans="14:27" ht="15" customHeight="1" x14ac:dyDescent="0.3">
      <c r="N139" s="327"/>
      <c r="O139" s="327"/>
      <c r="P139" s="327"/>
      <c r="Q139" s="327"/>
      <c r="R139" s="327"/>
      <c r="S139" s="327"/>
      <c r="T139" s="327"/>
      <c r="U139" s="327"/>
      <c r="V139" s="327"/>
      <c r="W139" s="327"/>
      <c r="X139" s="327"/>
      <c r="Y139" s="327"/>
      <c r="Z139" s="327"/>
      <c r="AA139" s="327"/>
    </row>
    <row r="140" spans="14:27" ht="15" customHeight="1" x14ac:dyDescent="0.3">
      <c r="N140" s="327"/>
      <c r="O140" s="327"/>
      <c r="P140" s="327"/>
      <c r="Q140" s="327"/>
      <c r="R140" s="327"/>
      <c r="S140" s="327"/>
      <c r="T140" s="327"/>
      <c r="U140" s="327"/>
      <c r="V140" s="327"/>
      <c r="W140" s="327"/>
      <c r="X140" s="327"/>
      <c r="Y140" s="327"/>
      <c r="Z140" s="327"/>
      <c r="AA140" s="327"/>
    </row>
    <row r="141" spans="14:27" ht="15" customHeight="1" x14ac:dyDescent="0.3">
      <c r="N141" s="327"/>
      <c r="O141" s="327"/>
      <c r="P141" s="327"/>
      <c r="Q141" s="327"/>
      <c r="R141" s="327"/>
      <c r="S141" s="327"/>
      <c r="T141" s="327"/>
      <c r="U141" s="327"/>
      <c r="V141" s="327"/>
      <c r="W141" s="327"/>
      <c r="X141" s="327"/>
      <c r="Y141" s="327"/>
      <c r="Z141" s="327"/>
      <c r="AA141" s="327"/>
    </row>
    <row r="142" spans="14:27" ht="15" customHeight="1" x14ac:dyDescent="0.3">
      <c r="N142" s="327"/>
      <c r="O142" s="327"/>
      <c r="P142" s="327"/>
      <c r="Q142" s="327"/>
      <c r="R142" s="327"/>
      <c r="S142" s="327"/>
      <c r="T142" s="327"/>
      <c r="U142" s="327"/>
      <c r="V142" s="327"/>
      <c r="W142" s="327"/>
      <c r="X142" s="327"/>
      <c r="Y142" s="327"/>
      <c r="Z142" s="327"/>
      <c r="AA142" s="327"/>
    </row>
    <row r="143" spans="14:27" ht="15" customHeight="1" x14ac:dyDescent="0.3">
      <c r="N143" s="327"/>
      <c r="O143" s="327"/>
      <c r="P143" s="327"/>
      <c r="Q143" s="327"/>
      <c r="R143" s="327"/>
      <c r="S143" s="327"/>
      <c r="T143" s="327"/>
      <c r="U143" s="327"/>
      <c r="V143" s="327"/>
      <c r="W143" s="327"/>
      <c r="X143" s="327"/>
      <c r="Y143" s="327"/>
      <c r="Z143" s="327"/>
      <c r="AA143" s="327"/>
    </row>
    <row r="144" spans="14:27" ht="15" customHeight="1" x14ac:dyDescent="0.3">
      <c r="N144" s="327"/>
      <c r="O144" s="327"/>
      <c r="P144" s="327"/>
      <c r="Q144" s="327"/>
      <c r="R144" s="327"/>
      <c r="S144" s="327"/>
      <c r="T144" s="327"/>
      <c r="U144" s="327"/>
      <c r="V144" s="327"/>
      <c r="W144" s="327"/>
      <c r="X144" s="327"/>
      <c r="Y144" s="327"/>
      <c r="Z144" s="327"/>
      <c r="AA144" s="327"/>
    </row>
    <row r="145" spans="14:27" ht="15" customHeight="1" x14ac:dyDescent="0.3">
      <c r="N145" s="327"/>
      <c r="O145" s="327"/>
      <c r="P145" s="327"/>
      <c r="Q145" s="327"/>
      <c r="R145" s="327"/>
      <c r="S145" s="327"/>
      <c r="T145" s="327"/>
      <c r="U145" s="327"/>
      <c r="V145" s="327"/>
      <c r="W145" s="327"/>
      <c r="X145" s="327"/>
      <c r="Y145" s="327"/>
      <c r="Z145" s="327"/>
      <c r="AA145" s="327"/>
    </row>
    <row r="146" spans="14:27" ht="15" customHeight="1" x14ac:dyDescent="0.3">
      <c r="N146" s="327"/>
      <c r="O146" s="327"/>
      <c r="P146" s="327"/>
      <c r="Q146" s="327"/>
      <c r="R146" s="327"/>
      <c r="S146" s="327"/>
      <c r="T146" s="327"/>
      <c r="U146" s="327"/>
      <c r="V146" s="327"/>
      <c r="W146" s="327"/>
      <c r="X146" s="327"/>
      <c r="Y146" s="327"/>
      <c r="Z146" s="327"/>
      <c r="AA146" s="327"/>
    </row>
    <row r="147" spans="14:27" ht="15" customHeight="1" x14ac:dyDescent="0.3">
      <c r="N147" s="327"/>
      <c r="O147" s="327"/>
      <c r="P147" s="327"/>
      <c r="Q147" s="327"/>
      <c r="R147" s="327"/>
      <c r="S147" s="327"/>
      <c r="T147" s="327"/>
      <c r="U147" s="327"/>
      <c r="V147" s="327"/>
      <c r="W147" s="327"/>
      <c r="X147" s="327"/>
      <c r="Y147" s="327"/>
      <c r="Z147" s="327"/>
      <c r="AA147" s="327"/>
    </row>
    <row r="148" spans="14:27" ht="15" customHeight="1" x14ac:dyDescent="0.3">
      <c r="N148" s="327"/>
      <c r="O148" s="327"/>
      <c r="P148" s="327"/>
      <c r="Q148" s="327"/>
      <c r="R148" s="327"/>
      <c r="S148" s="327"/>
      <c r="T148" s="327"/>
      <c r="U148" s="327"/>
      <c r="V148" s="327"/>
      <c r="W148" s="327"/>
      <c r="X148" s="327"/>
      <c r="Y148" s="327"/>
      <c r="Z148" s="327"/>
      <c r="AA148" s="327"/>
    </row>
    <row r="149" spans="14:27" ht="15" customHeight="1" x14ac:dyDescent="0.3">
      <c r="N149" s="327"/>
      <c r="O149" s="327"/>
      <c r="P149" s="327"/>
      <c r="Q149" s="327"/>
      <c r="R149" s="327"/>
      <c r="S149" s="327"/>
      <c r="T149" s="327"/>
      <c r="U149" s="327"/>
      <c r="V149" s="327"/>
      <c r="W149" s="327"/>
      <c r="X149" s="327"/>
      <c r="Y149" s="327"/>
      <c r="Z149" s="327"/>
      <c r="AA149" s="327"/>
    </row>
    <row r="150" spans="14:27" ht="15" customHeight="1" x14ac:dyDescent="0.3">
      <c r="N150" s="327"/>
      <c r="O150" s="327"/>
      <c r="P150" s="327"/>
      <c r="Q150" s="327"/>
      <c r="R150" s="327"/>
      <c r="S150" s="327"/>
      <c r="T150" s="327"/>
      <c r="U150" s="327"/>
      <c r="V150" s="327"/>
      <c r="W150" s="327"/>
      <c r="X150" s="327"/>
      <c r="Y150" s="327"/>
      <c r="Z150" s="327"/>
      <c r="AA150" s="327"/>
    </row>
    <row r="151" spans="14:27" ht="15" customHeight="1" x14ac:dyDescent="0.3">
      <c r="N151" s="327"/>
      <c r="O151" s="327"/>
      <c r="P151" s="327"/>
      <c r="Q151" s="327"/>
      <c r="R151" s="327"/>
      <c r="S151" s="327"/>
      <c r="T151" s="327"/>
      <c r="U151" s="327"/>
      <c r="V151" s="327"/>
      <c r="W151" s="327"/>
      <c r="X151" s="327"/>
      <c r="Y151" s="327"/>
      <c r="Z151" s="327"/>
      <c r="AA151" s="327"/>
    </row>
    <row r="152" spans="14:27" ht="15" customHeight="1" x14ac:dyDescent="0.3">
      <c r="N152" s="327"/>
      <c r="O152" s="327"/>
      <c r="P152" s="327"/>
      <c r="Q152" s="327"/>
      <c r="R152" s="327"/>
      <c r="S152" s="327"/>
      <c r="T152" s="327"/>
      <c r="U152" s="327"/>
      <c r="V152" s="327"/>
      <c r="W152" s="327"/>
      <c r="X152" s="327"/>
      <c r="Y152" s="327"/>
      <c r="Z152" s="327"/>
      <c r="AA152" s="327"/>
    </row>
    <row r="153" spans="14:27" ht="15" customHeight="1" x14ac:dyDescent="0.3">
      <c r="N153" s="327"/>
      <c r="O153" s="327"/>
      <c r="P153" s="327"/>
      <c r="Q153" s="327"/>
      <c r="R153" s="327"/>
      <c r="S153" s="327"/>
      <c r="T153" s="327"/>
      <c r="U153" s="327"/>
      <c r="V153" s="327"/>
      <c r="W153" s="327"/>
      <c r="X153" s="327"/>
      <c r="Y153" s="327"/>
      <c r="Z153" s="327"/>
      <c r="AA153" s="327"/>
    </row>
    <row r="154" spans="14:27" ht="15" customHeight="1" x14ac:dyDescent="0.3">
      <c r="N154" s="327"/>
      <c r="O154" s="327"/>
      <c r="P154" s="327"/>
      <c r="Q154" s="327"/>
      <c r="R154" s="327"/>
      <c r="S154" s="327"/>
      <c r="T154" s="327"/>
      <c r="U154" s="327"/>
      <c r="V154" s="327"/>
      <c r="W154" s="327"/>
      <c r="X154" s="327"/>
      <c r="Y154" s="327"/>
      <c r="Z154" s="327"/>
      <c r="AA154" s="327"/>
    </row>
    <row r="155" spans="14:27" ht="15" customHeight="1" x14ac:dyDescent="0.3">
      <c r="N155" s="327"/>
      <c r="O155" s="327"/>
      <c r="P155" s="327"/>
      <c r="Q155" s="327"/>
      <c r="R155" s="327"/>
      <c r="S155" s="327"/>
      <c r="T155" s="327"/>
      <c r="U155" s="327"/>
      <c r="V155" s="327"/>
      <c r="W155" s="327"/>
      <c r="X155" s="327"/>
      <c r="Y155" s="327"/>
      <c r="Z155" s="327"/>
      <c r="AA155" s="327"/>
    </row>
    <row r="156" spans="14:27" ht="15" customHeight="1" x14ac:dyDescent="0.3">
      <c r="N156" s="327"/>
      <c r="O156" s="327"/>
      <c r="P156" s="327"/>
      <c r="Q156" s="327"/>
      <c r="R156" s="327"/>
      <c r="S156" s="327"/>
      <c r="T156" s="327"/>
      <c r="U156" s="327"/>
      <c r="V156" s="327"/>
      <c r="W156" s="327"/>
      <c r="X156" s="327"/>
      <c r="Y156" s="327"/>
      <c r="Z156" s="327"/>
      <c r="AA156" s="327"/>
    </row>
    <row r="157" spans="14:27" ht="15" customHeight="1" x14ac:dyDescent="0.3">
      <c r="N157" s="327"/>
      <c r="O157" s="327"/>
      <c r="P157" s="327"/>
      <c r="Q157" s="327"/>
      <c r="R157" s="327"/>
      <c r="S157" s="327"/>
      <c r="T157" s="327"/>
      <c r="U157" s="327"/>
      <c r="V157" s="327"/>
      <c r="W157" s="327"/>
      <c r="X157" s="327"/>
      <c r="Y157" s="327"/>
      <c r="Z157" s="327"/>
      <c r="AA157" s="327"/>
    </row>
    <row r="158" spans="14:27" ht="15" customHeight="1" x14ac:dyDescent="0.3">
      <c r="N158" s="327"/>
      <c r="O158" s="327"/>
      <c r="P158" s="327"/>
      <c r="Q158" s="327"/>
      <c r="R158" s="327"/>
      <c r="S158" s="327"/>
      <c r="T158" s="327"/>
      <c r="U158" s="327"/>
      <c r="V158" s="327"/>
      <c r="W158" s="327"/>
      <c r="X158" s="327"/>
      <c r="Y158" s="327"/>
      <c r="Z158" s="327"/>
      <c r="AA158" s="327"/>
    </row>
    <row r="159" spans="14:27" ht="15" customHeight="1" x14ac:dyDescent="0.3">
      <c r="N159" s="327"/>
      <c r="O159" s="327"/>
      <c r="P159" s="327"/>
      <c r="Q159" s="327"/>
      <c r="R159" s="327"/>
      <c r="S159" s="327"/>
      <c r="T159" s="327"/>
      <c r="U159" s="327"/>
      <c r="V159" s="327"/>
      <c r="W159" s="327"/>
      <c r="X159" s="327"/>
      <c r="Y159" s="327"/>
      <c r="Z159" s="327"/>
      <c r="AA159" s="327"/>
    </row>
    <row r="160" spans="14:27" ht="15" customHeight="1" x14ac:dyDescent="0.3">
      <c r="N160" s="327"/>
      <c r="O160" s="327"/>
      <c r="P160" s="327"/>
      <c r="Q160" s="327"/>
      <c r="R160" s="327"/>
      <c r="S160" s="327"/>
      <c r="T160" s="327"/>
      <c r="U160" s="327"/>
      <c r="V160" s="327"/>
      <c r="W160" s="327"/>
      <c r="X160" s="327"/>
      <c r="Y160" s="327"/>
      <c r="Z160" s="327"/>
      <c r="AA160" s="327"/>
    </row>
    <row r="161" spans="14:27" ht="15" customHeight="1" x14ac:dyDescent="0.3">
      <c r="N161" s="327"/>
      <c r="O161" s="327"/>
      <c r="P161" s="327"/>
      <c r="Q161" s="327"/>
      <c r="R161" s="327"/>
      <c r="S161" s="327"/>
      <c r="T161" s="327"/>
      <c r="U161" s="327"/>
      <c r="V161" s="327"/>
      <c r="W161" s="327"/>
      <c r="X161" s="327"/>
      <c r="Y161" s="327"/>
      <c r="Z161" s="327"/>
      <c r="AA161" s="327"/>
    </row>
    <row r="162" spans="14:27" ht="15" customHeight="1" x14ac:dyDescent="0.3">
      <c r="N162" s="327"/>
      <c r="O162" s="327"/>
      <c r="P162" s="327"/>
      <c r="Q162" s="327"/>
      <c r="R162" s="327"/>
      <c r="S162" s="327"/>
      <c r="T162" s="327"/>
      <c r="U162" s="327"/>
      <c r="V162" s="327"/>
      <c r="W162" s="327"/>
      <c r="X162" s="327"/>
      <c r="Y162" s="327"/>
      <c r="Z162" s="327"/>
      <c r="AA162" s="327"/>
    </row>
    <row r="163" spans="14:27" ht="15" customHeight="1" x14ac:dyDescent="0.3">
      <c r="N163" s="327"/>
      <c r="O163" s="327"/>
      <c r="P163" s="327"/>
      <c r="Q163" s="327"/>
      <c r="R163" s="327"/>
      <c r="S163" s="327"/>
      <c r="T163" s="327"/>
      <c r="U163" s="327"/>
      <c r="V163" s="327"/>
      <c r="W163" s="327"/>
      <c r="X163" s="327"/>
      <c r="Y163" s="327"/>
      <c r="Z163" s="327"/>
      <c r="AA163" s="327"/>
    </row>
  </sheetData>
  <sheetProtection algorithmName="SHA-512" hashValue="I2mZIYzgVjYHUIq+zGwbG2a1nGjiKTP5Rj+DvtWakauxas1yI/O42z5VZu67cI3N87WC8JTjAkefnVnTp5ubcg==" saltValue="4wwPKG4F/U4Wq5gSNzHxKw==" spinCount="100000" sheet="1" objects="1" scenarios="1" formatCells="0"/>
  <mergeCells count="6">
    <mergeCell ref="N76:AA85"/>
    <mergeCell ref="N4:AA32"/>
    <mergeCell ref="B4:L33"/>
    <mergeCell ref="B34:L55"/>
    <mergeCell ref="N33:AA69"/>
    <mergeCell ref="N70:AA75"/>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outlinePr summaryBelow="0"/>
  </sheetPr>
  <dimension ref="A2:DB536"/>
  <sheetViews>
    <sheetView topLeftCell="A126" zoomScaleNormal="100" workbookViewId="0">
      <selection activeCell="A92" sqref="A92"/>
    </sheetView>
  </sheetViews>
  <sheetFormatPr defaultColWidth="9.21875" defaultRowHeight="14.4" outlineLevelRow="1" x14ac:dyDescent="0.3"/>
  <cols>
    <col min="1" max="1" width="46.21875" style="20" customWidth="1"/>
    <col min="2" max="2" width="26" style="20" customWidth="1"/>
    <col min="3" max="3" width="30.21875" style="20" customWidth="1"/>
    <col min="4" max="4" width="12.44140625" style="20" customWidth="1"/>
    <col min="5" max="5" width="36.77734375" style="20" customWidth="1"/>
    <col min="6" max="6" width="16.44140625" style="20" customWidth="1"/>
    <col min="7" max="7" width="19" style="20" customWidth="1"/>
    <col min="8" max="8" width="14.77734375" style="20" customWidth="1"/>
    <col min="9" max="9" width="12.44140625" style="20" customWidth="1"/>
    <col min="10" max="10" width="13.5546875" style="20" customWidth="1"/>
    <col min="11" max="11" width="13" style="20" customWidth="1"/>
    <col min="12" max="14" width="13.5546875" style="20" customWidth="1"/>
    <col min="15" max="15" width="13.21875" style="20" customWidth="1"/>
    <col min="16" max="16" width="13.5546875" style="20" customWidth="1"/>
    <col min="17" max="17" width="13.21875" style="20" customWidth="1"/>
    <col min="18" max="19" width="13.5546875" style="20" customWidth="1"/>
    <col min="20" max="20" width="14" style="20" customWidth="1"/>
    <col min="21" max="21" width="13.5546875" style="20" customWidth="1"/>
    <col min="22" max="24" width="14" style="20" customWidth="1"/>
    <col min="25" max="25" width="13.77734375" style="20" customWidth="1"/>
    <col min="26" max="26" width="14" style="20" customWidth="1"/>
    <col min="27" max="27" width="13.77734375" style="20" customWidth="1"/>
    <col min="28" max="30" width="14" style="20" customWidth="1"/>
    <col min="31" max="31" width="13.5546875" style="20" customWidth="1"/>
    <col min="32" max="34" width="14" style="20" customWidth="1"/>
    <col min="35" max="35" width="13.77734375" style="20" customWidth="1"/>
    <col min="36" max="36" width="14" style="20" customWidth="1"/>
    <col min="37" max="37" width="13.77734375" style="20" customWidth="1"/>
    <col min="38" max="40" width="14" style="20" customWidth="1"/>
    <col min="41" max="41" width="13.5546875" style="20" customWidth="1"/>
    <col min="42" max="44" width="14" style="20" customWidth="1"/>
    <col min="45" max="45" width="13.77734375" style="20" customWidth="1"/>
    <col min="46" max="46" width="14" style="20" customWidth="1"/>
    <col min="47" max="47" width="13.77734375" style="20" customWidth="1"/>
    <col min="48" max="49" width="14" style="20" customWidth="1"/>
    <col min="50" max="50" width="13.77734375" style="20" customWidth="1"/>
    <col min="51" max="51" width="13.21875" style="20" customWidth="1"/>
    <col min="52" max="54" width="13.77734375" style="20" customWidth="1"/>
    <col min="55" max="55" width="13.5546875" style="20" customWidth="1"/>
    <col min="56" max="56" width="13.77734375" style="20" customWidth="1"/>
    <col min="57" max="57" width="13.5546875" style="20" customWidth="1"/>
    <col min="58" max="59" width="13.77734375" style="20" customWidth="1"/>
    <col min="60" max="60" width="14" style="20" customWidth="1"/>
    <col min="61" max="61" width="13.5546875" style="20" customWidth="1"/>
    <col min="62" max="64" width="14" style="20" customWidth="1"/>
    <col min="65" max="65" width="13.77734375" style="20" customWidth="1"/>
    <col min="66" max="66" width="14" style="20" customWidth="1"/>
    <col min="67" max="67" width="13.77734375" style="20" customWidth="1"/>
    <col min="68" max="69" width="14" style="20" customWidth="1"/>
    <col min="70" max="70" width="13.77734375" style="20" customWidth="1"/>
    <col min="71" max="71" width="13.21875" style="20" customWidth="1"/>
    <col min="72" max="74" width="13.77734375" style="20" customWidth="1"/>
    <col min="75" max="75" width="13.5546875" style="20" customWidth="1"/>
    <col min="76" max="76" width="13.77734375" style="20" customWidth="1"/>
    <col min="77" max="77" width="13.5546875" style="20" customWidth="1"/>
    <col min="78" max="79" width="13.77734375" style="20" customWidth="1"/>
    <col min="80" max="80" width="14" style="20" customWidth="1"/>
    <col min="81" max="81" width="13.5546875" style="20" customWidth="1"/>
    <col min="82" max="84" width="14" style="20" customWidth="1"/>
    <col min="85" max="85" width="13.77734375" style="20" customWidth="1"/>
    <col min="86" max="86" width="14" style="20" customWidth="1"/>
    <col min="87" max="87" width="13.77734375" style="20" customWidth="1"/>
    <col min="88" max="90" width="14" style="20" customWidth="1"/>
    <col min="91" max="91" width="13.5546875" style="20" customWidth="1"/>
    <col min="92" max="94" width="14" style="20" customWidth="1"/>
    <col min="95" max="95" width="13.77734375" style="20" customWidth="1"/>
    <col min="96" max="96" width="14" style="20" customWidth="1"/>
    <col min="97" max="97" width="13.77734375" style="20" customWidth="1"/>
    <col min="98" max="16384" width="9.21875" style="20"/>
  </cols>
  <sheetData>
    <row r="2" spans="1:3" ht="18" x14ac:dyDescent="0.3">
      <c r="A2" s="58" t="s">
        <v>157</v>
      </c>
    </row>
    <row r="3" spans="1:3" x14ac:dyDescent="0.3">
      <c r="A3" s="20" t="s">
        <v>160</v>
      </c>
      <c r="B3" s="313">
        <v>45786.484722222223</v>
      </c>
    </row>
    <row r="4" spans="1:3" x14ac:dyDescent="0.3">
      <c r="A4" s="20" t="s">
        <v>560</v>
      </c>
      <c r="B4" s="36">
        <v>0</v>
      </c>
    </row>
    <row r="5" spans="1:3" x14ac:dyDescent="0.3">
      <c r="A5" s="20" t="s">
        <v>678</v>
      </c>
      <c r="B5" s="36" t="s">
        <v>585</v>
      </c>
    </row>
    <row r="6" spans="1:3" x14ac:dyDescent="0.3">
      <c r="A6" s="20" t="s">
        <v>679</v>
      </c>
      <c r="B6" s="36" t="s">
        <v>585</v>
      </c>
    </row>
    <row r="7" spans="1:3" x14ac:dyDescent="0.3">
      <c r="A7" s="20" t="s">
        <v>680</v>
      </c>
      <c r="B7" s="36" t="s">
        <v>585</v>
      </c>
    </row>
    <row r="8" spans="1:3" x14ac:dyDescent="0.3">
      <c r="A8" s="20" t="s">
        <v>149</v>
      </c>
      <c r="B8" s="36">
        <v>320000</v>
      </c>
    </row>
    <row r="9" spans="1:3" x14ac:dyDescent="0.3">
      <c r="A9" s="20" t="s">
        <v>159</v>
      </c>
      <c r="B9" s="69">
        <v>48</v>
      </c>
    </row>
    <row r="10" spans="1:3" x14ac:dyDescent="0.3">
      <c r="A10" s="20" t="s">
        <v>598</v>
      </c>
      <c r="B10" s="69" t="s">
        <v>564</v>
      </c>
      <c r="C10" s="120" t="s">
        <v>818</v>
      </c>
    </row>
    <row r="11" spans="1:3" x14ac:dyDescent="0.3">
      <c r="A11" s="20" t="s">
        <v>632</v>
      </c>
      <c r="B11" s="69" t="s">
        <v>564</v>
      </c>
      <c r="C11" s="120" t="s">
        <v>819</v>
      </c>
    </row>
    <row r="12" spans="1:3" x14ac:dyDescent="0.3">
      <c r="A12" s="20" t="s">
        <v>662</v>
      </c>
      <c r="B12" s="69" t="s">
        <v>564</v>
      </c>
      <c r="C12" s="120" t="s">
        <v>820</v>
      </c>
    </row>
    <row r="13" spans="1:3" x14ac:dyDescent="0.3">
      <c r="B13" s="69"/>
    </row>
    <row r="14" spans="1:3" ht="18" x14ac:dyDescent="0.3">
      <c r="A14" s="58" t="s">
        <v>161</v>
      </c>
      <c r="B14" s="69"/>
    </row>
    <row r="15" spans="1:3" x14ac:dyDescent="0.3">
      <c r="A15" s="20" t="s">
        <v>810</v>
      </c>
      <c r="B15" s="75">
        <v>45839</v>
      </c>
    </row>
    <row r="16" spans="1:3" x14ac:dyDescent="0.3">
      <c r="A16" s="20" t="s">
        <v>162</v>
      </c>
      <c r="B16" s="75">
        <v>45778</v>
      </c>
    </row>
    <row r="17" spans="1:3" x14ac:dyDescent="0.3">
      <c r="A17" s="20" t="s">
        <v>608</v>
      </c>
      <c r="B17" s="76">
        <v>0</v>
      </c>
      <c r="C17" s="120" t="s">
        <v>600</v>
      </c>
    </row>
    <row r="18" spans="1:3" x14ac:dyDescent="0.3">
      <c r="A18" s="20" t="s">
        <v>675</v>
      </c>
      <c r="B18" s="76">
        <v>0</v>
      </c>
      <c r="C18" s="120" t="s">
        <v>600</v>
      </c>
    </row>
    <row r="19" spans="1:3" x14ac:dyDescent="0.3">
      <c r="A19" s="20" t="s">
        <v>609</v>
      </c>
      <c r="B19" s="76">
        <v>0</v>
      </c>
      <c r="C19" s="120" t="s">
        <v>600</v>
      </c>
    </row>
    <row r="20" spans="1:3" x14ac:dyDescent="0.3">
      <c r="A20" s="20" t="s">
        <v>611</v>
      </c>
      <c r="B20" s="76">
        <v>0</v>
      </c>
      <c r="C20" s="120" t="s">
        <v>600</v>
      </c>
    </row>
    <row r="21" spans="1:3" x14ac:dyDescent="0.3">
      <c r="A21" s="20" t="s">
        <v>691</v>
      </c>
      <c r="B21" s="76">
        <v>0</v>
      </c>
      <c r="C21" s="120" t="s">
        <v>600</v>
      </c>
    </row>
    <row r="22" spans="1:3" x14ac:dyDescent="0.3">
      <c r="A22" s="20" t="s">
        <v>692</v>
      </c>
      <c r="B22" s="257">
        <v>0</v>
      </c>
      <c r="C22" s="120" t="s">
        <v>600</v>
      </c>
    </row>
    <row r="23" spans="1:3" x14ac:dyDescent="0.3">
      <c r="A23" s="20" t="s">
        <v>610</v>
      </c>
      <c r="B23" s="167">
        <v>0</v>
      </c>
      <c r="C23" s="120" t="s">
        <v>600</v>
      </c>
    </row>
    <row r="24" spans="1:3" x14ac:dyDescent="0.3">
      <c r="A24" s="20" t="s">
        <v>772</v>
      </c>
      <c r="B24" s="69">
        <v>0</v>
      </c>
      <c r="C24" s="120" t="s">
        <v>600</v>
      </c>
    </row>
    <row r="25" spans="1:3" x14ac:dyDescent="0.3">
      <c r="A25" s="20" t="s">
        <v>773</v>
      </c>
      <c r="B25" s="69">
        <v>0</v>
      </c>
      <c r="C25" s="120" t="s">
        <v>600</v>
      </c>
    </row>
    <row r="26" spans="1:3" x14ac:dyDescent="0.3">
      <c r="A26" s="20" t="s">
        <v>601</v>
      </c>
      <c r="B26" s="77">
        <v>0</v>
      </c>
    </row>
    <row r="27" spans="1:3" x14ac:dyDescent="0.3">
      <c r="A27" s="20" t="s">
        <v>840</v>
      </c>
      <c r="B27" s="36">
        <v>0</v>
      </c>
    </row>
    <row r="28" spans="1:3" x14ac:dyDescent="0.3">
      <c r="A28" s="20" t="s">
        <v>802</v>
      </c>
      <c r="B28" s="77">
        <v>0</v>
      </c>
    </row>
    <row r="29" spans="1:3" x14ac:dyDescent="0.3">
      <c r="A29" s="20" t="s">
        <v>151</v>
      </c>
      <c r="B29" s="36">
        <v>0</v>
      </c>
      <c r="C29" s="120" t="s">
        <v>638</v>
      </c>
    </row>
    <row r="30" spans="1:3" x14ac:dyDescent="0.3">
      <c r="A30" s="20" t="s">
        <v>163</v>
      </c>
      <c r="B30" s="76">
        <v>2025</v>
      </c>
    </row>
    <row r="31" spans="1:3" x14ac:dyDescent="0.3">
      <c r="A31" s="20" t="s">
        <v>176</v>
      </c>
      <c r="B31" s="76" t="s">
        <v>177</v>
      </c>
    </row>
    <row r="32" spans="1:3" x14ac:dyDescent="0.3">
      <c r="A32" s="20" t="s">
        <v>777</v>
      </c>
      <c r="B32" s="36" t="s">
        <v>836</v>
      </c>
    </row>
    <row r="33" spans="1:2" x14ac:dyDescent="0.3">
      <c r="A33" s="20" t="s">
        <v>539</v>
      </c>
      <c r="B33" s="76">
        <v>1410</v>
      </c>
    </row>
    <row r="34" spans="1:2" x14ac:dyDescent="0.3">
      <c r="A34" s="20" t="s">
        <v>719</v>
      </c>
      <c r="B34" s="76" t="s">
        <v>718</v>
      </c>
    </row>
    <row r="35" spans="1:2" x14ac:dyDescent="0.3">
      <c r="A35" s="20" t="s">
        <v>703</v>
      </c>
      <c r="B35" s="76">
        <v>0</v>
      </c>
    </row>
    <row r="36" spans="1:2" x14ac:dyDescent="0.3">
      <c r="A36" s="20" t="s">
        <v>704</v>
      </c>
      <c r="B36" s="76">
        <v>0</v>
      </c>
    </row>
    <row r="37" spans="1:2" x14ac:dyDescent="0.3">
      <c r="A37" s="20" t="s">
        <v>705</v>
      </c>
      <c r="B37" s="36">
        <v>0</v>
      </c>
    </row>
    <row r="38" spans="1:2" x14ac:dyDescent="0.3">
      <c r="A38" s="20" t="s">
        <v>706</v>
      </c>
      <c r="B38" s="36">
        <v>0</v>
      </c>
    </row>
    <row r="39" spans="1:2" x14ac:dyDescent="0.3">
      <c r="A39" s="20" t="s">
        <v>707</v>
      </c>
      <c r="B39" s="77">
        <v>0</v>
      </c>
    </row>
    <row r="40" spans="1:2" x14ac:dyDescent="0.3">
      <c r="A40" s="20" t="s">
        <v>708</v>
      </c>
      <c r="B40" s="77">
        <v>0</v>
      </c>
    </row>
    <row r="41" spans="1:2" x14ac:dyDescent="0.3">
      <c r="A41" s="20" t="s">
        <v>829</v>
      </c>
      <c r="B41" s="36">
        <v>0</v>
      </c>
    </row>
    <row r="42" spans="1:2" x14ac:dyDescent="0.3">
      <c r="A42" s="20" t="s">
        <v>811</v>
      </c>
      <c r="B42" s="76">
        <v>0</v>
      </c>
    </row>
    <row r="43" spans="1:2" x14ac:dyDescent="0.3">
      <c r="A43" s="20" t="s">
        <v>812</v>
      </c>
      <c r="B43" s="77">
        <v>0</v>
      </c>
    </row>
    <row r="44" spans="1:2" x14ac:dyDescent="0.3">
      <c r="B44" s="77"/>
    </row>
    <row r="45" spans="1:2" x14ac:dyDescent="0.3">
      <c r="B45" s="36"/>
    </row>
    <row r="46" spans="1:2" ht="18" x14ac:dyDescent="0.3">
      <c r="A46" s="58" t="s">
        <v>175</v>
      </c>
      <c r="B46" s="36"/>
    </row>
    <row r="47" spans="1:2" ht="31.5" customHeight="1" x14ac:dyDescent="0.3">
      <c r="A47" s="87" t="s">
        <v>747</v>
      </c>
      <c r="B47" s="36">
        <v>320000</v>
      </c>
    </row>
    <row r="48" spans="1:2" ht="17.25" customHeight="1" x14ac:dyDescent="0.3">
      <c r="A48" s="87" t="s">
        <v>752</v>
      </c>
      <c r="B48" s="264">
        <v>1</v>
      </c>
    </row>
    <row r="49" spans="1:2" ht="16.5" customHeight="1" x14ac:dyDescent="0.3">
      <c r="A49" s="87" t="s">
        <v>827</v>
      </c>
      <c r="B49" s="264">
        <v>0</v>
      </c>
    </row>
    <row r="50" spans="1:2" ht="15" customHeight="1" x14ac:dyDescent="0.3">
      <c r="A50" s="88"/>
      <c r="B50" s="79"/>
    </row>
    <row r="51" spans="1:2" ht="15" customHeight="1" x14ac:dyDescent="0.3">
      <c r="A51" s="58"/>
      <c r="B51" s="36"/>
    </row>
    <row r="52" spans="1:2" ht="18" x14ac:dyDescent="0.3">
      <c r="A52" s="58" t="s">
        <v>11</v>
      </c>
      <c r="B52" s="36"/>
    </row>
    <row r="53" spans="1:2" x14ac:dyDescent="0.3">
      <c r="A53" s="20" t="s">
        <v>164</v>
      </c>
      <c r="B53" s="36" t="s">
        <v>564</v>
      </c>
    </row>
    <row r="54" spans="1:2" x14ac:dyDescent="0.3">
      <c r="A54" s="20" t="s">
        <v>165</v>
      </c>
      <c r="B54" s="36">
        <v>320000</v>
      </c>
    </row>
    <row r="55" spans="1:2" x14ac:dyDescent="0.3">
      <c r="A55" s="20" t="s">
        <v>166</v>
      </c>
      <c r="B55" s="77">
        <v>0</v>
      </c>
    </row>
    <row r="56" spans="1:2" x14ac:dyDescent="0.3">
      <c r="A56" s="20" t="s">
        <v>167</v>
      </c>
      <c r="B56" s="36">
        <v>0</v>
      </c>
    </row>
    <row r="57" spans="1:2" x14ac:dyDescent="0.3">
      <c r="A57" s="20" t="s">
        <v>168</v>
      </c>
      <c r="B57" s="36">
        <v>500000</v>
      </c>
    </row>
    <row r="58" spans="1:2" x14ac:dyDescent="0.3">
      <c r="B58" s="36"/>
    </row>
    <row r="59" spans="1:2" ht="18" x14ac:dyDescent="0.3">
      <c r="A59" s="58" t="s">
        <v>732</v>
      </c>
      <c r="B59" s="36"/>
    </row>
    <row r="60" spans="1:2" x14ac:dyDescent="0.3">
      <c r="A60" s="20" t="s">
        <v>602</v>
      </c>
      <c r="B60" s="77">
        <v>0</v>
      </c>
    </row>
    <row r="61" spans="1:2" x14ac:dyDescent="0.3">
      <c r="A61" s="20" t="s">
        <v>603</v>
      </c>
      <c r="B61" s="77">
        <v>0.05</v>
      </c>
    </row>
    <row r="62" spans="1:2" x14ac:dyDescent="0.3">
      <c r="A62" s="20" t="s">
        <v>735</v>
      </c>
      <c r="B62" s="77">
        <v>0</v>
      </c>
    </row>
    <row r="64" spans="1:2" ht="18" x14ac:dyDescent="0.3">
      <c r="A64" s="58" t="s">
        <v>37</v>
      </c>
      <c r="B64" s="77"/>
    </row>
    <row r="65" spans="1:2" x14ac:dyDescent="0.3">
      <c r="A65" s="20" t="s">
        <v>178</v>
      </c>
      <c r="B65" s="77">
        <v>0</v>
      </c>
    </row>
    <row r="66" spans="1:2" ht="28.8" x14ac:dyDescent="0.3">
      <c r="A66" s="78" t="s">
        <v>616</v>
      </c>
      <c r="B66" s="79">
        <v>0</v>
      </c>
    </row>
    <row r="67" spans="1:2" x14ac:dyDescent="0.3">
      <c r="A67" s="78"/>
      <c r="B67" s="79"/>
    </row>
    <row r="68" spans="1:2" ht="18" x14ac:dyDescent="0.3">
      <c r="A68" s="80" t="s">
        <v>14</v>
      </c>
      <c r="B68" s="79"/>
    </row>
    <row r="69" spans="1:2" x14ac:dyDescent="0.3">
      <c r="A69" s="78" t="s">
        <v>557</v>
      </c>
      <c r="B69" s="79">
        <v>0</v>
      </c>
    </row>
    <row r="70" spans="1:2" x14ac:dyDescent="0.3">
      <c r="A70" s="78" t="s">
        <v>179</v>
      </c>
      <c r="B70" s="77">
        <v>0</v>
      </c>
    </row>
    <row r="71" spans="1:2" x14ac:dyDescent="0.3">
      <c r="A71" s="78" t="s">
        <v>180</v>
      </c>
      <c r="B71" s="77">
        <v>0.49</v>
      </c>
    </row>
    <row r="72" spans="1:2" x14ac:dyDescent="0.3">
      <c r="A72" s="78" t="s">
        <v>181</v>
      </c>
      <c r="B72" s="77">
        <v>0</v>
      </c>
    </row>
    <row r="73" spans="1:2" x14ac:dyDescent="0.3">
      <c r="A73" s="78" t="s">
        <v>570</v>
      </c>
      <c r="B73" s="77" t="s">
        <v>585</v>
      </c>
    </row>
    <row r="74" spans="1:2" x14ac:dyDescent="0.3">
      <c r="A74" s="78" t="s">
        <v>667</v>
      </c>
      <c r="B74" s="77" t="s">
        <v>564</v>
      </c>
    </row>
    <row r="75" spans="1:2" x14ac:dyDescent="0.3">
      <c r="A75" s="78" t="s">
        <v>172</v>
      </c>
      <c r="B75" s="251" t="s">
        <v>585</v>
      </c>
    </row>
    <row r="76" spans="1:2" x14ac:dyDescent="0.3">
      <c r="A76" s="78" t="s">
        <v>182</v>
      </c>
      <c r="B76" s="77" t="s">
        <v>826</v>
      </c>
    </row>
    <row r="77" spans="1:2" x14ac:dyDescent="0.3">
      <c r="A77" s="78"/>
      <c r="B77" s="79"/>
    </row>
    <row r="80" spans="1:2" ht="18" x14ac:dyDescent="0.3">
      <c r="A80" s="58" t="s">
        <v>746</v>
      </c>
    </row>
    <row r="82" spans="1:100" outlineLevel="1" x14ac:dyDescent="0.3">
      <c r="A82" s="109" t="s">
        <v>147</v>
      </c>
      <c r="B82" s="248" t="s">
        <v>173</v>
      </c>
      <c r="C82" s="248" t="s">
        <v>693</v>
      </c>
      <c r="D82" s="248" t="s">
        <v>694</v>
      </c>
      <c r="E82" s="110" t="s">
        <v>51</v>
      </c>
      <c r="F82" s="110" t="s">
        <v>52</v>
      </c>
      <c r="G82" s="110" t="s">
        <v>53</v>
      </c>
      <c r="H82" s="110" t="s">
        <v>54</v>
      </c>
      <c r="I82" s="110" t="s">
        <v>55</v>
      </c>
      <c r="J82" s="110" t="s">
        <v>56</v>
      </c>
      <c r="K82" s="110" t="s">
        <v>57</v>
      </c>
      <c r="L82" s="110" t="s">
        <v>58</v>
      </c>
      <c r="M82" s="110" t="s">
        <v>59</v>
      </c>
      <c r="N82" s="110" t="s">
        <v>60</v>
      </c>
      <c r="O82" s="110" t="s">
        <v>61</v>
      </c>
      <c r="P82" s="110" t="s">
        <v>62</v>
      </c>
      <c r="Q82" s="110" t="s">
        <v>63</v>
      </c>
      <c r="R82" s="110" t="s">
        <v>64</v>
      </c>
      <c r="S82" s="110" t="s">
        <v>65</v>
      </c>
      <c r="T82" s="110" t="s">
        <v>66</v>
      </c>
      <c r="U82" s="110" t="s">
        <v>67</v>
      </c>
      <c r="V82" s="110" t="s">
        <v>68</v>
      </c>
      <c r="W82" s="110" t="s">
        <v>69</v>
      </c>
      <c r="X82" s="110" t="s">
        <v>70</v>
      </c>
      <c r="Y82" s="110" t="s">
        <v>71</v>
      </c>
      <c r="Z82" s="110" t="s">
        <v>72</v>
      </c>
      <c r="AA82" s="110" t="s">
        <v>73</v>
      </c>
      <c r="AB82" s="110" t="s">
        <v>74</v>
      </c>
      <c r="AC82" s="110" t="s">
        <v>75</v>
      </c>
      <c r="AD82" s="110" t="s">
        <v>76</v>
      </c>
      <c r="AE82" s="110" t="s">
        <v>77</v>
      </c>
      <c r="AF82" s="110" t="s">
        <v>78</v>
      </c>
      <c r="AG82" s="110" t="s">
        <v>79</v>
      </c>
      <c r="AH82" s="110" t="s">
        <v>80</v>
      </c>
      <c r="AI82" s="110" t="s">
        <v>81</v>
      </c>
      <c r="AJ82" s="110" t="s">
        <v>82</v>
      </c>
      <c r="AK82" s="110" t="s">
        <v>83</v>
      </c>
      <c r="AL82" s="110" t="s">
        <v>84</v>
      </c>
      <c r="AM82" s="110" t="s">
        <v>85</v>
      </c>
      <c r="AN82" s="110" t="s">
        <v>86</v>
      </c>
      <c r="AO82" s="110" t="s">
        <v>87</v>
      </c>
      <c r="AP82" s="110" t="s">
        <v>88</v>
      </c>
      <c r="AQ82" s="110" t="s">
        <v>89</v>
      </c>
      <c r="AR82" s="110" t="s">
        <v>90</v>
      </c>
      <c r="AS82" s="110" t="s">
        <v>91</v>
      </c>
      <c r="AT82" s="110" t="s">
        <v>92</v>
      </c>
      <c r="AU82" s="110" t="s">
        <v>93</v>
      </c>
      <c r="AV82" s="110" t="s">
        <v>94</v>
      </c>
      <c r="AW82" s="110" t="s">
        <v>95</v>
      </c>
      <c r="AX82" s="110" t="s">
        <v>96</v>
      </c>
      <c r="AY82" s="110" t="s">
        <v>97</v>
      </c>
      <c r="AZ82" s="110" t="s">
        <v>98</v>
      </c>
      <c r="BA82" s="110" t="s">
        <v>99</v>
      </c>
      <c r="BB82" s="110" t="s">
        <v>100</v>
      </c>
      <c r="BC82" s="110" t="s">
        <v>101</v>
      </c>
      <c r="BD82" s="110" t="s">
        <v>102</v>
      </c>
      <c r="BE82" s="110" t="s">
        <v>103</v>
      </c>
      <c r="BF82" s="110" t="s">
        <v>104</v>
      </c>
      <c r="BG82" s="110" t="s">
        <v>105</v>
      </c>
      <c r="BH82" s="110" t="s">
        <v>106</v>
      </c>
      <c r="BI82" s="110" t="s">
        <v>107</v>
      </c>
      <c r="BJ82" s="110" t="s">
        <v>108</v>
      </c>
      <c r="BK82" s="110" t="s">
        <v>109</v>
      </c>
      <c r="BL82" s="110" t="s">
        <v>110</v>
      </c>
      <c r="BM82" s="110" t="s">
        <v>111</v>
      </c>
      <c r="BN82" s="110" t="s">
        <v>112</v>
      </c>
      <c r="BO82" s="110" t="s">
        <v>113</v>
      </c>
      <c r="BP82" s="110" t="s">
        <v>114</v>
      </c>
      <c r="BQ82" s="110" t="s">
        <v>115</v>
      </c>
      <c r="BR82" s="110" t="s">
        <v>116</v>
      </c>
      <c r="BS82" s="110" t="s">
        <v>117</v>
      </c>
      <c r="BT82" s="110" t="s">
        <v>118</v>
      </c>
      <c r="BU82" s="110" t="s">
        <v>119</v>
      </c>
      <c r="BV82" s="110" t="s">
        <v>120</v>
      </c>
      <c r="BW82" s="110" t="s">
        <v>121</v>
      </c>
      <c r="BX82" s="110" t="s">
        <v>122</v>
      </c>
      <c r="BY82" s="110" t="s">
        <v>123</v>
      </c>
      <c r="BZ82" s="110" t="s">
        <v>124</v>
      </c>
      <c r="CA82" s="110" t="s">
        <v>125</v>
      </c>
      <c r="CB82" s="110" t="s">
        <v>126</v>
      </c>
      <c r="CC82" s="110" t="s">
        <v>127</v>
      </c>
      <c r="CD82" s="110" t="s">
        <v>128</v>
      </c>
      <c r="CE82" s="110" t="s">
        <v>129</v>
      </c>
      <c r="CF82" s="110" t="s">
        <v>130</v>
      </c>
      <c r="CG82" s="110" t="s">
        <v>131</v>
      </c>
      <c r="CH82" s="110" t="s">
        <v>132</v>
      </c>
      <c r="CI82" s="110" t="s">
        <v>133</v>
      </c>
      <c r="CJ82" s="110" t="s">
        <v>134</v>
      </c>
      <c r="CK82" s="110" t="s">
        <v>135</v>
      </c>
      <c r="CL82" s="110" t="s">
        <v>136</v>
      </c>
      <c r="CM82" s="110" t="s">
        <v>137</v>
      </c>
      <c r="CN82" s="110" t="s">
        <v>138</v>
      </c>
      <c r="CO82" s="110" t="s">
        <v>139</v>
      </c>
      <c r="CP82" s="110" t="s">
        <v>140</v>
      </c>
      <c r="CQ82" s="110" t="s">
        <v>141</v>
      </c>
      <c r="CR82" s="110" t="s">
        <v>142</v>
      </c>
      <c r="CS82" s="110" t="s">
        <v>143</v>
      </c>
      <c r="CT82" s="110" t="s">
        <v>144</v>
      </c>
      <c r="CU82" s="110" t="s">
        <v>145</v>
      </c>
      <c r="CV82" s="110" t="s">
        <v>146</v>
      </c>
    </row>
    <row r="83" spans="1:100" s="5" customFormat="1" ht="13.8" outlineLevel="1" x14ac:dyDescent="0.3">
      <c r="A83" s="247" t="s">
        <v>837</v>
      </c>
      <c r="B83" s="106" t="s">
        <v>841</v>
      </c>
      <c r="C83" s="258">
        <v>1</v>
      </c>
      <c r="D83" s="259">
        <v>1</v>
      </c>
      <c r="E83" s="246"/>
      <c r="F83" s="244"/>
      <c r="G83" s="244"/>
      <c r="H83" s="244"/>
      <c r="I83" s="244"/>
      <c r="J83" s="244"/>
      <c r="K83" s="244"/>
      <c r="L83" s="244"/>
      <c r="M83" s="244"/>
      <c r="N83" s="244"/>
      <c r="O83" s="244"/>
      <c r="P83" s="244"/>
      <c r="Q83" s="246"/>
      <c r="R83" s="244"/>
      <c r="S83" s="244"/>
      <c r="T83" s="244"/>
      <c r="U83" s="244"/>
      <c r="V83" s="244"/>
      <c r="W83" s="244"/>
      <c r="X83" s="244"/>
      <c r="Y83" s="244"/>
      <c r="Z83" s="244"/>
      <c r="AA83" s="244"/>
      <c r="AB83" s="244"/>
      <c r="AC83" s="246"/>
      <c r="AD83" s="244"/>
      <c r="AE83" s="244"/>
      <c r="AF83" s="244"/>
      <c r="AG83" s="244"/>
      <c r="AH83" s="244"/>
      <c r="AI83" s="244"/>
      <c r="AJ83" s="244"/>
      <c r="AK83" s="244"/>
      <c r="AL83" s="244"/>
      <c r="AM83" s="244"/>
      <c r="AN83" s="244"/>
      <c r="AO83" s="246"/>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c r="CO83" s="244"/>
      <c r="CP83" s="244"/>
      <c r="CQ83" s="244"/>
      <c r="CR83" s="244"/>
      <c r="CS83" s="244"/>
      <c r="CT83" s="244"/>
      <c r="CU83" s="244"/>
      <c r="CV83" s="244"/>
    </row>
    <row r="84" spans="1:100" s="5" customFormat="1" ht="13.8" outlineLevel="1" x14ac:dyDescent="0.3">
      <c r="A84" s="243" t="s">
        <v>729</v>
      </c>
      <c r="B84" s="106" t="s">
        <v>728</v>
      </c>
      <c r="C84" s="258">
        <v>24</v>
      </c>
      <c r="D84" s="259">
        <v>0.18</v>
      </c>
      <c r="E84" s="328">
        <v>5600</v>
      </c>
      <c r="F84" s="328">
        <v>11201</v>
      </c>
      <c r="G84" s="328">
        <v>16801</v>
      </c>
      <c r="H84" s="328">
        <v>22401</v>
      </c>
      <c r="I84" s="328">
        <v>28001</v>
      </c>
      <c r="J84" s="328">
        <v>33602</v>
      </c>
      <c r="K84" s="328">
        <v>39202</v>
      </c>
      <c r="L84" s="328">
        <v>44802</v>
      </c>
      <c r="M84" s="328">
        <v>50402</v>
      </c>
      <c r="N84" s="328">
        <v>56003</v>
      </c>
      <c r="O84" s="328">
        <v>61603</v>
      </c>
      <c r="P84" s="328">
        <v>72803</v>
      </c>
      <c r="Q84" s="328">
        <v>79220</v>
      </c>
      <c r="R84" s="328">
        <v>85636</v>
      </c>
      <c r="S84" s="328">
        <v>92053</v>
      </c>
      <c r="T84" s="328">
        <v>98469</v>
      </c>
      <c r="U84" s="328">
        <v>104886</v>
      </c>
      <c r="V84" s="328">
        <v>111302</v>
      </c>
      <c r="W84" s="328">
        <v>117719</v>
      </c>
      <c r="X84" s="328">
        <v>124135</v>
      </c>
      <c r="Y84" s="328">
        <v>130552</v>
      </c>
      <c r="Z84" s="328">
        <v>136968</v>
      </c>
      <c r="AA84" s="328">
        <v>143385</v>
      </c>
      <c r="AB84" s="328">
        <v>149801</v>
      </c>
      <c r="AC84" s="328">
        <v>156587</v>
      </c>
      <c r="AD84" s="328">
        <v>163373</v>
      </c>
      <c r="AE84" s="328">
        <v>170159</v>
      </c>
      <c r="AF84" s="328">
        <v>176945</v>
      </c>
      <c r="AG84" s="328">
        <v>183731</v>
      </c>
      <c r="AH84" s="328">
        <v>190518</v>
      </c>
      <c r="AI84" s="328">
        <v>197304</v>
      </c>
      <c r="AJ84" s="328">
        <v>204090</v>
      </c>
      <c r="AK84" s="328">
        <v>210876</v>
      </c>
      <c r="AL84" s="328">
        <v>217662</v>
      </c>
      <c r="AM84" s="328">
        <v>224448</v>
      </c>
      <c r="AN84" s="328">
        <v>231234</v>
      </c>
      <c r="AO84" s="328">
        <v>238411</v>
      </c>
      <c r="AP84" s="328">
        <v>245588</v>
      </c>
      <c r="AQ84" s="328">
        <v>252764</v>
      </c>
      <c r="AR84" s="328">
        <v>259941</v>
      </c>
      <c r="AS84" s="328">
        <v>267118</v>
      </c>
      <c r="AT84" s="328">
        <v>274295</v>
      </c>
      <c r="AU84" s="328">
        <v>281471</v>
      </c>
      <c r="AV84" s="328">
        <v>288648</v>
      </c>
      <c r="AW84" s="328">
        <v>295825</v>
      </c>
      <c r="AX84" s="328">
        <v>303002</v>
      </c>
      <c r="AY84" s="328">
        <v>310178</v>
      </c>
      <c r="AZ84" s="328">
        <v>317355</v>
      </c>
      <c r="BA84" s="328">
        <v>324945</v>
      </c>
      <c r="BB84" s="328">
        <v>332535</v>
      </c>
      <c r="BC84" s="328">
        <v>340125</v>
      </c>
      <c r="BD84" s="328">
        <v>347715</v>
      </c>
      <c r="BE84" s="328">
        <v>355305</v>
      </c>
      <c r="BF84" s="328">
        <v>362895</v>
      </c>
      <c r="BG84" s="328">
        <v>370485</v>
      </c>
      <c r="BH84" s="328">
        <v>378075</v>
      </c>
      <c r="BI84" s="328">
        <v>385665</v>
      </c>
      <c r="BJ84" s="328">
        <v>393255</v>
      </c>
      <c r="BK84" s="328">
        <v>400845</v>
      </c>
      <c r="BL84" s="328">
        <v>408435</v>
      </c>
      <c r="BM84" s="328">
        <v>416462</v>
      </c>
      <c r="BN84" s="328">
        <v>424489</v>
      </c>
      <c r="BO84" s="328">
        <v>432516</v>
      </c>
      <c r="BP84" s="328">
        <v>440542</v>
      </c>
      <c r="BQ84" s="328">
        <v>448569</v>
      </c>
      <c r="BR84" s="328">
        <v>456596</v>
      </c>
      <c r="BS84" s="328">
        <v>464623</v>
      </c>
      <c r="BT84" s="328">
        <v>472650</v>
      </c>
      <c r="BU84" s="328">
        <v>480677</v>
      </c>
      <c r="BV84" s="328">
        <v>488703</v>
      </c>
      <c r="BW84" s="328">
        <v>496730</v>
      </c>
      <c r="BX84" s="328">
        <v>504757</v>
      </c>
      <c r="BY84" s="328">
        <v>513246</v>
      </c>
      <c r="BZ84" s="328">
        <v>521734</v>
      </c>
      <c r="CA84" s="328">
        <v>530223</v>
      </c>
      <c r="CB84" s="328">
        <v>538712</v>
      </c>
      <c r="CC84" s="328">
        <v>547200</v>
      </c>
      <c r="CD84" s="328">
        <v>555689</v>
      </c>
      <c r="CE84" s="328">
        <v>564178</v>
      </c>
      <c r="CF84" s="328">
        <v>572666</v>
      </c>
      <c r="CG84" s="328">
        <v>581155</v>
      </c>
      <c r="CH84" s="328">
        <v>589644</v>
      </c>
      <c r="CI84" s="328">
        <v>598132</v>
      </c>
      <c r="CJ84" s="328">
        <v>606621</v>
      </c>
      <c r="CK84" s="328">
        <v>615598</v>
      </c>
      <c r="CL84" s="328">
        <v>624575</v>
      </c>
      <c r="CM84" s="328">
        <v>633552</v>
      </c>
      <c r="CN84" s="328">
        <v>642529</v>
      </c>
      <c r="CO84" s="328">
        <v>651506</v>
      </c>
      <c r="CP84" s="328">
        <v>660483</v>
      </c>
      <c r="CQ84" s="328">
        <v>669459</v>
      </c>
      <c r="CR84" s="328">
        <v>678436</v>
      </c>
      <c r="CS84" s="328">
        <v>687413</v>
      </c>
      <c r="CT84" s="328">
        <v>696390</v>
      </c>
      <c r="CU84" s="328">
        <v>705367</v>
      </c>
      <c r="CV84" s="329">
        <v>714344</v>
      </c>
    </row>
    <row r="85" spans="1:100" s="5" customFormat="1" ht="13.8" outlineLevel="1" x14ac:dyDescent="0.3">
      <c r="A85" s="243" t="s">
        <v>730</v>
      </c>
      <c r="B85" s="106" t="s">
        <v>728</v>
      </c>
      <c r="C85" s="258">
        <v>25</v>
      </c>
      <c r="D85" s="259">
        <v>0.19</v>
      </c>
      <c r="E85" s="330">
        <v>6731</v>
      </c>
      <c r="F85" s="330">
        <v>13463</v>
      </c>
      <c r="G85" s="330">
        <v>20194</v>
      </c>
      <c r="H85" s="330">
        <v>26926</v>
      </c>
      <c r="I85" s="330">
        <v>33657</v>
      </c>
      <c r="J85" s="330">
        <v>40389</v>
      </c>
      <c r="K85" s="330">
        <v>47120</v>
      </c>
      <c r="L85" s="330">
        <v>53851</v>
      </c>
      <c r="M85" s="330">
        <v>60583</v>
      </c>
      <c r="N85" s="330">
        <v>67314</v>
      </c>
      <c r="O85" s="330">
        <v>74046</v>
      </c>
      <c r="P85" s="330">
        <v>87508</v>
      </c>
      <c r="Q85" s="330">
        <v>95221</v>
      </c>
      <c r="R85" s="330">
        <v>102933</v>
      </c>
      <c r="S85" s="330">
        <v>110646</v>
      </c>
      <c r="T85" s="330">
        <v>118358</v>
      </c>
      <c r="U85" s="330">
        <v>126071</v>
      </c>
      <c r="V85" s="330">
        <v>133784</v>
      </c>
      <c r="W85" s="330">
        <v>141496</v>
      </c>
      <c r="X85" s="330">
        <v>149209</v>
      </c>
      <c r="Y85" s="330">
        <v>156921</v>
      </c>
      <c r="Z85" s="330">
        <v>164634</v>
      </c>
      <c r="AA85" s="330">
        <v>172346</v>
      </c>
      <c r="AB85" s="330">
        <v>180059</v>
      </c>
      <c r="AC85" s="330">
        <v>188216</v>
      </c>
      <c r="AD85" s="330">
        <v>196373</v>
      </c>
      <c r="AE85" s="330">
        <v>204529</v>
      </c>
      <c r="AF85" s="330">
        <v>212686</v>
      </c>
      <c r="AG85" s="330">
        <v>220843</v>
      </c>
      <c r="AH85" s="330">
        <v>229000</v>
      </c>
      <c r="AI85" s="330">
        <v>237156</v>
      </c>
      <c r="AJ85" s="330">
        <v>245313</v>
      </c>
      <c r="AK85" s="330">
        <v>253470</v>
      </c>
      <c r="AL85" s="330">
        <v>261627</v>
      </c>
      <c r="AM85" s="330">
        <v>269783</v>
      </c>
      <c r="AN85" s="330">
        <v>277940</v>
      </c>
      <c r="AO85" s="330">
        <v>286567</v>
      </c>
      <c r="AP85" s="330">
        <v>295193</v>
      </c>
      <c r="AQ85" s="330">
        <v>303820</v>
      </c>
      <c r="AR85" s="330">
        <v>312446</v>
      </c>
      <c r="AS85" s="330">
        <v>321073</v>
      </c>
      <c r="AT85" s="330">
        <v>329699</v>
      </c>
      <c r="AU85" s="330">
        <v>338326</v>
      </c>
      <c r="AV85" s="330">
        <v>346952</v>
      </c>
      <c r="AW85" s="330">
        <v>355579</v>
      </c>
      <c r="AX85" s="330">
        <v>364205</v>
      </c>
      <c r="AY85" s="330">
        <v>372832</v>
      </c>
      <c r="AZ85" s="330">
        <v>381458</v>
      </c>
      <c r="BA85" s="330">
        <v>390581</v>
      </c>
      <c r="BB85" s="330">
        <v>399704</v>
      </c>
      <c r="BC85" s="330">
        <v>408827</v>
      </c>
      <c r="BD85" s="330">
        <v>417950</v>
      </c>
      <c r="BE85" s="330">
        <v>427073</v>
      </c>
      <c r="BF85" s="330">
        <v>436197</v>
      </c>
      <c r="BG85" s="330">
        <v>445320</v>
      </c>
      <c r="BH85" s="330">
        <v>454443</v>
      </c>
      <c r="BI85" s="330">
        <v>463566</v>
      </c>
      <c r="BJ85" s="330">
        <v>472689</v>
      </c>
      <c r="BK85" s="330">
        <v>481812</v>
      </c>
      <c r="BL85" s="330">
        <v>490935</v>
      </c>
      <c r="BM85" s="330">
        <v>500583</v>
      </c>
      <c r="BN85" s="330">
        <v>510231</v>
      </c>
      <c r="BO85" s="330">
        <v>519879</v>
      </c>
      <c r="BP85" s="330">
        <v>529527</v>
      </c>
      <c r="BQ85" s="330">
        <v>539175</v>
      </c>
      <c r="BR85" s="330">
        <v>548824</v>
      </c>
      <c r="BS85" s="330">
        <v>558472</v>
      </c>
      <c r="BT85" s="330">
        <v>568120</v>
      </c>
      <c r="BU85" s="330">
        <v>577768</v>
      </c>
      <c r="BV85" s="330">
        <v>587416</v>
      </c>
      <c r="BW85" s="330">
        <v>597064</v>
      </c>
      <c r="BX85" s="330">
        <v>606712</v>
      </c>
      <c r="BY85" s="330">
        <v>616915</v>
      </c>
      <c r="BZ85" s="330">
        <v>627119</v>
      </c>
      <c r="CA85" s="330">
        <v>637322</v>
      </c>
      <c r="CB85" s="330">
        <v>647525</v>
      </c>
      <c r="CC85" s="330">
        <v>657728</v>
      </c>
      <c r="CD85" s="330">
        <v>667932</v>
      </c>
      <c r="CE85" s="330">
        <v>678135</v>
      </c>
      <c r="CF85" s="330">
        <v>688338</v>
      </c>
      <c r="CG85" s="330">
        <v>698541</v>
      </c>
      <c r="CH85" s="330">
        <v>708745</v>
      </c>
      <c r="CI85" s="330">
        <v>718948</v>
      </c>
      <c r="CJ85" s="330">
        <v>729151</v>
      </c>
      <c r="CK85" s="330">
        <v>739941</v>
      </c>
      <c r="CL85" s="330">
        <v>750731</v>
      </c>
      <c r="CM85" s="330">
        <v>761522</v>
      </c>
      <c r="CN85" s="330">
        <v>772312</v>
      </c>
      <c r="CO85" s="330">
        <v>783102</v>
      </c>
      <c r="CP85" s="330">
        <v>793892</v>
      </c>
      <c r="CQ85" s="330">
        <v>804682</v>
      </c>
      <c r="CR85" s="330">
        <v>815472</v>
      </c>
      <c r="CS85" s="330">
        <v>826263</v>
      </c>
      <c r="CT85" s="330">
        <v>837053</v>
      </c>
      <c r="CU85" s="330">
        <v>847843</v>
      </c>
      <c r="CV85" s="331">
        <v>858633</v>
      </c>
    </row>
    <row r="86" spans="1:100" s="5" customFormat="1" ht="13.8" outlineLevel="1" x14ac:dyDescent="0.3">
      <c r="A86" s="243" t="s">
        <v>731</v>
      </c>
      <c r="B86" s="106" t="s">
        <v>728</v>
      </c>
      <c r="C86" s="258">
        <v>26</v>
      </c>
      <c r="D86" s="259">
        <v>0.2</v>
      </c>
      <c r="E86" s="328">
        <v>8057</v>
      </c>
      <c r="F86" s="328">
        <v>16114</v>
      </c>
      <c r="G86" s="328">
        <v>24170</v>
      </c>
      <c r="H86" s="328">
        <v>32227</v>
      </c>
      <c r="I86" s="328">
        <v>40284</v>
      </c>
      <c r="J86" s="328">
        <v>48341</v>
      </c>
      <c r="K86" s="328">
        <v>56397</v>
      </c>
      <c r="L86" s="328">
        <v>64454</v>
      </c>
      <c r="M86" s="328">
        <v>72511</v>
      </c>
      <c r="N86" s="328">
        <v>80568</v>
      </c>
      <c r="O86" s="328">
        <v>88624</v>
      </c>
      <c r="P86" s="328">
        <v>104738</v>
      </c>
      <c r="Q86" s="328">
        <v>113969</v>
      </c>
      <c r="R86" s="328">
        <v>123200</v>
      </c>
      <c r="S86" s="328">
        <v>132431</v>
      </c>
      <c r="T86" s="328">
        <v>141662</v>
      </c>
      <c r="U86" s="328">
        <v>150893</v>
      </c>
      <c r="V86" s="328">
        <v>160124</v>
      </c>
      <c r="W86" s="328">
        <v>169355</v>
      </c>
      <c r="X86" s="328">
        <v>178586</v>
      </c>
      <c r="Y86" s="328">
        <v>187817</v>
      </c>
      <c r="Z86" s="328">
        <v>197048</v>
      </c>
      <c r="AA86" s="328">
        <v>206279</v>
      </c>
      <c r="AB86" s="328">
        <v>215510</v>
      </c>
      <c r="AC86" s="328">
        <v>225273</v>
      </c>
      <c r="AD86" s="328">
        <v>235036</v>
      </c>
      <c r="AE86" s="328">
        <v>244798</v>
      </c>
      <c r="AF86" s="328">
        <v>254561</v>
      </c>
      <c r="AG86" s="328">
        <v>264324</v>
      </c>
      <c r="AH86" s="328">
        <v>274087</v>
      </c>
      <c r="AI86" s="328">
        <v>283849</v>
      </c>
      <c r="AJ86" s="328">
        <v>293612</v>
      </c>
      <c r="AK86" s="328">
        <v>303375</v>
      </c>
      <c r="AL86" s="328">
        <v>313138</v>
      </c>
      <c r="AM86" s="328">
        <v>322900</v>
      </c>
      <c r="AN86" s="328">
        <v>332663</v>
      </c>
      <c r="AO86" s="328">
        <v>342988</v>
      </c>
      <c r="AP86" s="328">
        <v>353313</v>
      </c>
      <c r="AQ86" s="328">
        <v>363638</v>
      </c>
      <c r="AR86" s="328">
        <v>373962</v>
      </c>
      <c r="AS86" s="328">
        <v>384287</v>
      </c>
      <c r="AT86" s="328">
        <v>394612</v>
      </c>
      <c r="AU86" s="328">
        <v>404937</v>
      </c>
      <c r="AV86" s="328">
        <v>415262</v>
      </c>
      <c r="AW86" s="328">
        <v>425587</v>
      </c>
      <c r="AX86" s="328">
        <v>435911</v>
      </c>
      <c r="AY86" s="328">
        <v>446236</v>
      </c>
      <c r="AZ86" s="328">
        <v>456561</v>
      </c>
      <c r="BA86" s="328">
        <v>467480</v>
      </c>
      <c r="BB86" s="328">
        <v>478400</v>
      </c>
      <c r="BC86" s="328">
        <v>489319</v>
      </c>
      <c r="BD86" s="328">
        <v>500238</v>
      </c>
      <c r="BE86" s="328">
        <v>511157</v>
      </c>
      <c r="BF86" s="328">
        <v>522077</v>
      </c>
      <c r="BG86" s="328">
        <v>532996</v>
      </c>
      <c r="BH86" s="328">
        <v>543915</v>
      </c>
      <c r="BI86" s="328">
        <v>554834</v>
      </c>
      <c r="BJ86" s="328">
        <v>565754</v>
      </c>
      <c r="BK86" s="328">
        <v>576673</v>
      </c>
      <c r="BL86" s="328">
        <v>587592</v>
      </c>
      <c r="BM86" s="328">
        <v>599140</v>
      </c>
      <c r="BN86" s="328">
        <v>610687</v>
      </c>
      <c r="BO86" s="328">
        <v>622235</v>
      </c>
      <c r="BP86" s="328">
        <v>633783</v>
      </c>
      <c r="BQ86" s="328">
        <v>645330</v>
      </c>
      <c r="BR86" s="328">
        <v>656878</v>
      </c>
      <c r="BS86" s="328">
        <v>668426</v>
      </c>
      <c r="BT86" s="328">
        <v>679973</v>
      </c>
      <c r="BU86" s="328">
        <v>691521</v>
      </c>
      <c r="BV86" s="328">
        <v>703069</v>
      </c>
      <c r="BW86" s="328">
        <v>714616</v>
      </c>
      <c r="BX86" s="328">
        <v>726164</v>
      </c>
      <c r="BY86" s="328">
        <v>738376</v>
      </c>
      <c r="BZ86" s="328">
        <v>750588</v>
      </c>
      <c r="CA86" s="328">
        <v>762801</v>
      </c>
      <c r="CB86" s="328">
        <v>775013</v>
      </c>
      <c r="CC86" s="328">
        <v>787225</v>
      </c>
      <c r="CD86" s="328">
        <v>799437</v>
      </c>
      <c r="CE86" s="328">
        <v>811649</v>
      </c>
      <c r="CF86" s="328">
        <v>823861</v>
      </c>
      <c r="CG86" s="328">
        <v>836074</v>
      </c>
      <c r="CH86" s="328">
        <v>848286</v>
      </c>
      <c r="CI86" s="328">
        <v>860498</v>
      </c>
      <c r="CJ86" s="328">
        <v>872710</v>
      </c>
      <c r="CK86" s="328">
        <v>885625</v>
      </c>
      <c r="CL86" s="328">
        <v>898539</v>
      </c>
      <c r="CM86" s="328">
        <v>911454</v>
      </c>
      <c r="CN86" s="328">
        <v>924368</v>
      </c>
      <c r="CO86" s="328">
        <v>937283</v>
      </c>
      <c r="CP86" s="328">
        <v>950198</v>
      </c>
      <c r="CQ86" s="328">
        <v>963112</v>
      </c>
      <c r="CR86" s="328">
        <v>976027</v>
      </c>
      <c r="CS86" s="328">
        <v>988941</v>
      </c>
      <c r="CT86" s="328">
        <v>1001856</v>
      </c>
      <c r="CU86" s="328">
        <v>1014770</v>
      </c>
      <c r="CV86" s="329">
        <v>1027685</v>
      </c>
    </row>
    <row r="87" spans="1:100" s="5" customFormat="1" ht="13.8" outlineLevel="1" x14ac:dyDescent="0.3">
      <c r="A87" s="243" t="s">
        <v>856</v>
      </c>
      <c r="B87" s="106" t="s">
        <v>728</v>
      </c>
      <c r="C87" s="258">
        <v>27</v>
      </c>
      <c r="D87" s="259">
        <v>0.21</v>
      </c>
      <c r="E87" s="330">
        <v>5724</v>
      </c>
      <c r="F87" s="330">
        <v>11449</v>
      </c>
      <c r="G87" s="330">
        <v>17173</v>
      </c>
      <c r="H87" s="330">
        <v>22897</v>
      </c>
      <c r="I87" s="330">
        <v>28622</v>
      </c>
      <c r="J87" s="330">
        <v>34346</v>
      </c>
      <c r="K87" s="330">
        <v>40070</v>
      </c>
      <c r="L87" s="330">
        <v>45795</v>
      </c>
      <c r="M87" s="330">
        <v>51519</v>
      </c>
      <c r="N87" s="330">
        <v>57243</v>
      </c>
      <c r="O87" s="330">
        <v>62968</v>
      </c>
      <c r="P87" s="330">
        <v>74416</v>
      </c>
      <c r="Q87" s="330">
        <v>80975</v>
      </c>
      <c r="R87" s="330">
        <v>87533</v>
      </c>
      <c r="S87" s="330">
        <v>94092</v>
      </c>
      <c r="T87" s="330">
        <v>100651</v>
      </c>
      <c r="U87" s="330">
        <v>107209</v>
      </c>
      <c r="V87" s="330">
        <v>113768</v>
      </c>
      <c r="W87" s="330">
        <v>120327</v>
      </c>
      <c r="X87" s="330">
        <v>126885</v>
      </c>
      <c r="Y87" s="330">
        <v>133444</v>
      </c>
      <c r="Z87" s="330">
        <v>140003</v>
      </c>
      <c r="AA87" s="330">
        <v>146561</v>
      </c>
      <c r="AB87" s="330">
        <v>153120</v>
      </c>
      <c r="AC87" s="330">
        <v>160057</v>
      </c>
      <c r="AD87" s="330">
        <v>166993</v>
      </c>
      <c r="AE87" s="330">
        <v>173930</v>
      </c>
      <c r="AF87" s="330">
        <v>180866</v>
      </c>
      <c r="AG87" s="330">
        <v>187803</v>
      </c>
      <c r="AH87" s="330">
        <v>194739</v>
      </c>
      <c r="AI87" s="330">
        <v>201676</v>
      </c>
      <c r="AJ87" s="330">
        <v>208612</v>
      </c>
      <c r="AK87" s="330">
        <v>215549</v>
      </c>
      <c r="AL87" s="330">
        <v>222485</v>
      </c>
      <c r="AM87" s="330">
        <v>229422</v>
      </c>
      <c r="AN87" s="330">
        <v>236358</v>
      </c>
      <c r="AO87" s="330">
        <v>243694</v>
      </c>
      <c r="AP87" s="330">
        <v>251030</v>
      </c>
      <c r="AQ87" s="330">
        <v>258366</v>
      </c>
      <c r="AR87" s="330">
        <v>265701</v>
      </c>
      <c r="AS87" s="330">
        <v>273037</v>
      </c>
      <c r="AT87" s="330">
        <v>280373</v>
      </c>
      <c r="AU87" s="330">
        <v>287709</v>
      </c>
      <c r="AV87" s="330">
        <v>295045</v>
      </c>
      <c r="AW87" s="330">
        <v>302381</v>
      </c>
      <c r="AX87" s="330">
        <v>309716</v>
      </c>
      <c r="AY87" s="330">
        <v>317052</v>
      </c>
      <c r="AZ87" s="330">
        <v>324388</v>
      </c>
      <c r="BA87" s="330">
        <v>332146</v>
      </c>
      <c r="BB87" s="330">
        <v>339904</v>
      </c>
      <c r="BC87" s="330">
        <v>347662</v>
      </c>
      <c r="BD87" s="330">
        <v>355420</v>
      </c>
      <c r="BE87" s="330">
        <v>363178</v>
      </c>
      <c r="BF87" s="330">
        <v>370937</v>
      </c>
      <c r="BG87" s="330">
        <v>378695</v>
      </c>
      <c r="BH87" s="330">
        <v>386453</v>
      </c>
      <c r="BI87" s="330">
        <v>394211</v>
      </c>
      <c r="BJ87" s="330">
        <v>401969</v>
      </c>
      <c r="BK87" s="330">
        <v>409727</v>
      </c>
      <c r="BL87" s="330">
        <v>417485</v>
      </c>
      <c r="BM87" s="330">
        <v>425690</v>
      </c>
      <c r="BN87" s="330">
        <v>433894</v>
      </c>
      <c r="BO87" s="330">
        <v>442099</v>
      </c>
      <c r="BP87" s="330">
        <v>450304</v>
      </c>
      <c r="BQ87" s="330">
        <v>458508</v>
      </c>
      <c r="BR87" s="330">
        <v>466713</v>
      </c>
      <c r="BS87" s="330">
        <v>474918</v>
      </c>
      <c r="BT87" s="330">
        <v>483122</v>
      </c>
      <c r="BU87" s="330">
        <v>491327</v>
      </c>
      <c r="BV87" s="330">
        <v>499532</v>
      </c>
      <c r="BW87" s="330">
        <v>507736</v>
      </c>
      <c r="BX87" s="330">
        <v>515941</v>
      </c>
      <c r="BY87" s="330">
        <v>524618</v>
      </c>
      <c r="BZ87" s="330">
        <v>533294</v>
      </c>
      <c r="CA87" s="330">
        <v>541971</v>
      </c>
      <c r="CB87" s="330">
        <v>550648</v>
      </c>
      <c r="CC87" s="330">
        <v>559324</v>
      </c>
      <c r="CD87" s="330">
        <v>568001</v>
      </c>
      <c r="CE87" s="330">
        <v>576678</v>
      </c>
      <c r="CF87" s="330">
        <v>585354</v>
      </c>
      <c r="CG87" s="330">
        <v>594031</v>
      </c>
      <c r="CH87" s="330">
        <v>602708</v>
      </c>
      <c r="CI87" s="330">
        <v>611384</v>
      </c>
      <c r="CJ87" s="330">
        <v>620061</v>
      </c>
      <c r="CK87" s="330">
        <v>629237</v>
      </c>
      <c r="CL87" s="330">
        <v>638413</v>
      </c>
      <c r="CM87" s="330">
        <v>647589</v>
      </c>
      <c r="CN87" s="330">
        <v>656765</v>
      </c>
      <c r="CO87" s="330">
        <v>665941</v>
      </c>
      <c r="CP87" s="330">
        <v>675117</v>
      </c>
      <c r="CQ87" s="330">
        <v>684292</v>
      </c>
      <c r="CR87" s="330">
        <v>693468</v>
      </c>
      <c r="CS87" s="330">
        <v>702644</v>
      </c>
      <c r="CT87" s="330">
        <v>711820</v>
      </c>
      <c r="CU87" s="330">
        <v>720996</v>
      </c>
      <c r="CV87" s="331">
        <v>730172</v>
      </c>
    </row>
    <row r="88" spans="1:100" s="5" customFormat="1" ht="13.8" outlineLevel="1" x14ac:dyDescent="0.3">
      <c r="A88" s="243" t="s">
        <v>857</v>
      </c>
      <c r="B88" s="106" t="s">
        <v>728</v>
      </c>
      <c r="C88" s="258">
        <v>28</v>
      </c>
      <c r="D88" s="259">
        <v>0.22</v>
      </c>
      <c r="E88" s="328">
        <v>6862</v>
      </c>
      <c r="F88" s="328">
        <v>13724</v>
      </c>
      <c r="G88" s="328">
        <v>20586</v>
      </c>
      <c r="H88" s="328">
        <v>27448</v>
      </c>
      <c r="I88" s="328">
        <v>34310</v>
      </c>
      <c r="J88" s="328">
        <v>41172</v>
      </c>
      <c r="K88" s="328">
        <v>48033</v>
      </c>
      <c r="L88" s="328">
        <v>54895</v>
      </c>
      <c r="M88" s="328">
        <v>61757</v>
      </c>
      <c r="N88" s="328">
        <v>68619</v>
      </c>
      <c r="O88" s="328">
        <v>75481</v>
      </c>
      <c r="P88" s="328">
        <v>89205</v>
      </c>
      <c r="Q88" s="328">
        <v>97067</v>
      </c>
      <c r="R88" s="328">
        <v>104929</v>
      </c>
      <c r="S88" s="328">
        <v>112791</v>
      </c>
      <c r="T88" s="328">
        <v>120653</v>
      </c>
      <c r="U88" s="328">
        <v>128515</v>
      </c>
      <c r="V88" s="328">
        <v>136377</v>
      </c>
      <c r="W88" s="328">
        <v>144239</v>
      </c>
      <c r="X88" s="328">
        <v>152101</v>
      </c>
      <c r="Y88" s="328">
        <v>159963</v>
      </c>
      <c r="Z88" s="328">
        <v>167825</v>
      </c>
      <c r="AA88" s="328">
        <v>175687</v>
      </c>
      <c r="AB88" s="328">
        <v>183549</v>
      </c>
      <c r="AC88" s="328">
        <v>191864</v>
      </c>
      <c r="AD88" s="328">
        <v>200179</v>
      </c>
      <c r="AE88" s="328">
        <v>208494</v>
      </c>
      <c r="AF88" s="328">
        <v>216808</v>
      </c>
      <c r="AG88" s="328">
        <v>225123</v>
      </c>
      <c r="AH88" s="328">
        <v>233438</v>
      </c>
      <c r="AI88" s="328">
        <v>241753</v>
      </c>
      <c r="AJ88" s="328">
        <v>250068</v>
      </c>
      <c r="AK88" s="328">
        <v>258383</v>
      </c>
      <c r="AL88" s="328">
        <v>266697</v>
      </c>
      <c r="AM88" s="328">
        <v>275012</v>
      </c>
      <c r="AN88" s="328">
        <v>283327</v>
      </c>
      <c r="AO88" s="328">
        <v>292121</v>
      </c>
      <c r="AP88" s="328">
        <v>300915</v>
      </c>
      <c r="AQ88" s="328">
        <v>309708</v>
      </c>
      <c r="AR88" s="328">
        <v>318502</v>
      </c>
      <c r="AS88" s="328">
        <v>327296</v>
      </c>
      <c r="AT88" s="328">
        <v>336090</v>
      </c>
      <c r="AU88" s="328">
        <v>344883</v>
      </c>
      <c r="AV88" s="328">
        <v>353677</v>
      </c>
      <c r="AW88" s="328">
        <v>362471</v>
      </c>
      <c r="AX88" s="328">
        <v>371265</v>
      </c>
      <c r="AY88" s="328">
        <v>380058</v>
      </c>
      <c r="AZ88" s="328">
        <v>388852</v>
      </c>
      <c r="BA88" s="328">
        <v>398152</v>
      </c>
      <c r="BB88" s="328">
        <v>407452</v>
      </c>
      <c r="BC88" s="328">
        <v>416752</v>
      </c>
      <c r="BD88" s="328">
        <v>426052</v>
      </c>
      <c r="BE88" s="328">
        <v>435352</v>
      </c>
      <c r="BF88" s="328">
        <v>444652</v>
      </c>
      <c r="BG88" s="328">
        <v>453951</v>
      </c>
      <c r="BH88" s="328">
        <v>463251</v>
      </c>
      <c r="BI88" s="328">
        <v>472551</v>
      </c>
      <c r="BJ88" s="328">
        <v>481851</v>
      </c>
      <c r="BK88" s="328">
        <v>491151</v>
      </c>
      <c r="BL88" s="328">
        <v>500451</v>
      </c>
      <c r="BM88" s="328">
        <v>510286</v>
      </c>
      <c r="BN88" s="328">
        <v>520121</v>
      </c>
      <c r="BO88" s="328">
        <v>529957</v>
      </c>
      <c r="BP88" s="328">
        <v>539792</v>
      </c>
      <c r="BQ88" s="328">
        <v>549627</v>
      </c>
      <c r="BR88" s="328">
        <v>559462</v>
      </c>
      <c r="BS88" s="328">
        <v>569297</v>
      </c>
      <c r="BT88" s="328">
        <v>579132</v>
      </c>
      <c r="BU88" s="328">
        <v>588968</v>
      </c>
      <c r="BV88" s="328">
        <v>598803</v>
      </c>
      <c r="BW88" s="328">
        <v>608638</v>
      </c>
      <c r="BX88" s="328">
        <v>618473</v>
      </c>
      <c r="BY88" s="328">
        <v>628874</v>
      </c>
      <c r="BZ88" s="328">
        <v>639275</v>
      </c>
      <c r="CA88" s="328">
        <v>649676</v>
      </c>
      <c r="CB88" s="328">
        <v>660077</v>
      </c>
      <c r="CC88" s="328">
        <v>670478</v>
      </c>
      <c r="CD88" s="328">
        <v>680880</v>
      </c>
      <c r="CE88" s="328">
        <v>691281</v>
      </c>
      <c r="CF88" s="328">
        <v>701682</v>
      </c>
      <c r="CG88" s="328">
        <v>712083</v>
      </c>
      <c r="CH88" s="328">
        <v>722484</v>
      </c>
      <c r="CI88" s="328">
        <v>732885</v>
      </c>
      <c r="CJ88" s="328">
        <v>743286</v>
      </c>
      <c r="CK88" s="328">
        <v>754285</v>
      </c>
      <c r="CL88" s="328">
        <v>765285</v>
      </c>
      <c r="CM88" s="328">
        <v>776284</v>
      </c>
      <c r="CN88" s="328">
        <v>787283</v>
      </c>
      <c r="CO88" s="328">
        <v>798283</v>
      </c>
      <c r="CP88" s="328">
        <v>809282</v>
      </c>
      <c r="CQ88" s="328">
        <v>820281</v>
      </c>
      <c r="CR88" s="328">
        <v>831281</v>
      </c>
      <c r="CS88" s="328">
        <v>842280</v>
      </c>
      <c r="CT88" s="328">
        <v>853279</v>
      </c>
      <c r="CU88" s="328">
        <v>864279</v>
      </c>
      <c r="CV88" s="329">
        <v>875278</v>
      </c>
    </row>
    <row r="89" spans="1:100" s="5" customFormat="1" ht="13.8" outlineLevel="1" x14ac:dyDescent="0.3">
      <c r="A89" s="243" t="s">
        <v>858</v>
      </c>
      <c r="B89" s="106" t="s">
        <v>728</v>
      </c>
      <c r="C89" s="258">
        <v>29</v>
      </c>
      <c r="D89" s="259">
        <v>0.23</v>
      </c>
      <c r="E89" s="330">
        <v>8210</v>
      </c>
      <c r="F89" s="330">
        <v>16419</v>
      </c>
      <c r="G89" s="330">
        <v>24629</v>
      </c>
      <c r="H89" s="330">
        <v>32838</v>
      </c>
      <c r="I89" s="330">
        <v>41048</v>
      </c>
      <c r="J89" s="330">
        <v>49257</v>
      </c>
      <c r="K89" s="330">
        <v>57467</v>
      </c>
      <c r="L89" s="330">
        <v>65676</v>
      </c>
      <c r="M89" s="330">
        <v>73886</v>
      </c>
      <c r="N89" s="330">
        <v>82095</v>
      </c>
      <c r="O89" s="330">
        <v>90305</v>
      </c>
      <c r="P89" s="330">
        <v>106723</v>
      </c>
      <c r="Q89" s="330">
        <v>116129</v>
      </c>
      <c r="R89" s="330">
        <v>125535</v>
      </c>
      <c r="S89" s="330">
        <v>134941</v>
      </c>
      <c r="T89" s="330">
        <v>144347</v>
      </c>
      <c r="U89" s="330">
        <v>153753</v>
      </c>
      <c r="V89" s="330">
        <v>163159</v>
      </c>
      <c r="W89" s="330">
        <v>172565</v>
      </c>
      <c r="X89" s="330">
        <v>181971</v>
      </c>
      <c r="Y89" s="330">
        <v>191377</v>
      </c>
      <c r="Z89" s="330">
        <v>200783</v>
      </c>
      <c r="AA89" s="330">
        <v>210189</v>
      </c>
      <c r="AB89" s="330">
        <v>219595</v>
      </c>
      <c r="AC89" s="330">
        <v>229543</v>
      </c>
      <c r="AD89" s="330">
        <v>239491</v>
      </c>
      <c r="AE89" s="330">
        <v>249439</v>
      </c>
      <c r="AF89" s="330">
        <v>259386</v>
      </c>
      <c r="AG89" s="330">
        <v>269334</v>
      </c>
      <c r="AH89" s="330">
        <v>279282</v>
      </c>
      <c r="AI89" s="330">
        <v>289230</v>
      </c>
      <c r="AJ89" s="330">
        <v>299178</v>
      </c>
      <c r="AK89" s="330">
        <v>309126</v>
      </c>
      <c r="AL89" s="330">
        <v>319073</v>
      </c>
      <c r="AM89" s="330">
        <v>329021</v>
      </c>
      <c r="AN89" s="330">
        <v>338969</v>
      </c>
      <c r="AO89" s="330">
        <v>349490</v>
      </c>
      <c r="AP89" s="330">
        <v>360010</v>
      </c>
      <c r="AQ89" s="330">
        <v>370531</v>
      </c>
      <c r="AR89" s="330">
        <v>381051</v>
      </c>
      <c r="AS89" s="330">
        <v>391572</v>
      </c>
      <c r="AT89" s="330">
        <v>402093</v>
      </c>
      <c r="AU89" s="330">
        <v>412613</v>
      </c>
      <c r="AV89" s="330">
        <v>423134</v>
      </c>
      <c r="AW89" s="330">
        <v>433654</v>
      </c>
      <c r="AX89" s="330">
        <v>444175</v>
      </c>
      <c r="AY89" s="330">
        <v>454695</v>
      </c>
      <c r="AZ89" s="330">
        <v>465216</v>
      </c>
      <c r="BA89" s="330">
        <v>476342</v>
      </c>
      <c r="BB89" s="330">
        <v>487469</v>
      </c>
      <c r="BC89" s="330">
        <v>498595</v>
      </c>
      <c r="BD89" s="330">
        <v>509721</v>
      </c>
      <c r="BE89" s="330">
        <v>520848</v>
      </c>
      <c r="BF89" s="330">
        <v>531974</v>
      </c>
      <c r="BG89" s="330">
        <v>543100</v>
      </c>
      <c r="BH89" s="330">
        <v>554227</v>
      </c>
      <c r="BI89" s="330">
        <v>565353</v>
      </c>
      <c r="BJ89" s="330">
        <v>576479</v>
      </c>
      <c r="BK89" s="330">
        <v>587606</v>
      </c>
      <c r="BL89" s="330">
        <v>598732</v>
      </c>
      <c r="BM89" s="330">
        <v>610499</v>
      </c>
      <c r="BN89" s="330">
        <v>622265</v>
      </c>
      <c r="BO89" s="330">
        <v>634032</v>
      </c>
      <c r="BP89" s="330">
        <v>645798</v>
      </c>
      <c r="BQ89" s="330">
        <v>657565</v>
      </c>
      <c r="BR89" s="330">
        <v>669332</v>
      </c>
      <c r="BS89" s="330">
        <v>681098</v>
      </c>
      <c r="BT89" s="330">
        <v>692865</v>
      </c>
      <c r="BU89" s="330">
        <v>704631</v>
      </c>
      <c r="BV89" s="330">
        <v>716398</v>
      </c>
      <c r="BW89" s="330">
        <v>728164</v>
      </c>
      <c r="BX89" s="330">
        <v>739931</v>
      </c>
      <c r="BY89" s="330">
        <v>752375</v>
      </c>
      <c r="BZ89" s="330">
        <v>764818</v>
      </c>
      <c r="CA89" s="330">
        <v>777262</v>
      </c>
      <c r="CB89" s="330">
        <v>789706</v>
      </c>
      <c r="CC89" s="330">
        <v>802149</v>
      </c>
      <c r="CD89" s="330">
        <v>814593</v>
      </c>
      <c r="CE89" s="330">
        <v>827037</v>
      </c>
      <c r="CF89" s="330">
        <v>839480</v>
      </c>
      <c r="CG89" s="330">
        <v>851924</v>
      </c>
      <c r="CH89" s="330">
        <v>864368</v>
      </c>
      <c r="CI89" s="330">
        <v>876811</v>
      </c>
      <c r="CJ89" s="330">
        <v>889255</v>
      </c>
      <c r="CK89" s="330">
        <v>902414</v>
      </c>
      <c r="CL89" s="330">
        <v>915574</v>
      </c>
      <c r="CM89" s="330">
        <v>928733</v>
      </c>
      <c r="CN89" s="330">
        <v>941893</v>
      </c>
      <c r="CO89" s="330">
        <v>955052</v>
      </c>
      <c r="CP89" s="330">
        <v>968212</v>
      </c>
      <c r="CQ89" s="330">
        <v>981371</v>
      </c>
      <c r="CR89" s="330">
        <v>994530</v>
      </c>
      <c r="CS89" s="330">
        <v>1007690</v>
      </c>
      <c r="CT89" s="330">
        <v>1020849</v>
      </c>
      <c r="CU89" s="330">
        <v>1034009</v>
      </c>
      <c r="CV89" s="331">
        <v>1047168</v>
      </c>
    </row>
    <row r="90" spans="1:100" s="5" customFormat="1" outlineLevel="1" x14ac:dyDescent="0.3">
      <c r="A90" s="20"/>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111"/>
      <c r="CV90" s="111"/>
    </row>
    <row r="91" spans="1:100" s="245" customFormat="1" outlineLevel="1" x14ac:dyDescent="0.3">
      <c r="A91" s="20"/>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111"/>
      <c r="CV91" s="111"/>
    </row>
    <row r="92" spans="1:100" s="245" customFormat="1" outlineLevel="1" x14ac:dyDescent="0.3">
      <c r="A92" s="20"/>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111"/>
      <c r="CV92" s="111"/>
    </row>
    <row r="93" spans="1:100" s="111" customFormat="1" outlineLevel="1" x14ac:dyDescent="0.3">
      <c r="A93" s="20"/>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row>
    <row r="94" spans="1:100" s="111" customFormat="1" ht="18" x14ac:dyDescent="0.3">
      <c r="A94" s="58" t="s">
        <v>171</v>
      </c>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row>
    <row r="95" spans="1:100" s="111" customFormat="1" x14ac:dyDescent="0.3">
      <c r="A95" s="242">
        <f>HOT_rates</f>
        <v>2025</v>
      </c>
      <c r="B95" s="241" t="str">
        <f>HOT_rate_type</f>
        <v>Cost Plus</v>
      </c>
      <c r="C95" s="21"/>
      <c r="D95" s="21"/>
      <c r="E95" s="216"/>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row>
    <row r="96" spans="1:100" s="111" customFormat="1" x14ac:dyDescent="0.3">
      <c r="A96" s="20" t="s">
        <v>147</v>
      </c>
      <c r="B96" s="21" t="s">
        <v>172</v>
      </c>
      <c r="C96" s="21" t="s">
        <v>796</v>
      </c>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row>
    <row r="97" spans="1:99" s="111" customFormat="1" x14ac:dyDescent="0.3">
      <c r="A97" s="112" t="s">
        <v>778</v>
      </c>
      <c r="B97" s="113">
        <v>52</v>
      </c>
      <c r="C97" s="113">
        <v>33</v>
      </c>
      <c r="E97" s="21"/>
      <c r="F97" s="196"/>
      <c r="G97" s="195"/>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row>
    <row r="98" spans="1:99" s="111" customFormat="1" x14ac:dyDescent="0.3">
      <c r="A98" s="112" t="s">
        <v>779</v>
      </c>
      <c r="B98" s="113">
        <v>52</v>
      </c>
      <c r="C98" s="113">
        <v>33</v>
      </c>
      <c r="E98" s="21"/>
      <c r="F98" s="196"/>
      <c r="G98" s="197"/>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row>
    <row r="99" spans="1:99" s="111" customFormat="1" outlineLevel="1" x14ac:dyDescent="0.3">
      <c r="A99" s="112" t="s">
        <v>780</v>
      </c>
      <c r="B99" s="113">
        <v>55</v>
      </c>
      <c r="C99" s="113">
        <v>36</v>
      </c>
      <c r="E99" s="21"/>
      <c r="F99" s="196"/>
      <c r="G99" s="197"/>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row>
    <row r="100" spans="1:99" s="111" customFormat="1" outlineLevel="1" x14ac:dyDescent="0.3">
      <c r="A100" s="112" t="s">
        <v>781</v>
      </c>
      <c r="B100" s="113">
        <v>59</v>
      </c>
      <c r="C100" s="113">
        <v>39</v>
      </c>
      <c r="E100" s="21"/>
      <c r="F100" s="196"/>
      <c r="G100" s="197"/>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row>
    <row r="101" spans="1:99" s="111" customFormat="1" outlineLevel="1" x14ac:dyDescent="0.3">
      <c r="A101" s="112" t="s">
        <v>782</v>
      </c>
      <c r="B101" s="113">
        <v>61</v>
      </c>
      <c r="C101" s="113">
        <v>42</v>
      </c>
      <c r="E101" s="21"/>
      <c r="F101" s="196"/>
      <c r="G101" s="197"/>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row>
    <row r="102" spans="1:99" s="111" customFormat="1" outlineLevel="1" x14ac:dyDescent="0.3">
      <c r="A102" s="112" t="s">
        <v>783</v>
      </c>
      <c r="B102" s="113">
        <v>63</v>
      </c>
      <c r="C102" s="113">
        <v>44</v>
      </c>
      <c r="E102" s="21"/>
      <c r="F102" s="196"/>
      <c r="G102" s="197"/>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row>
    <row r="103" spans="1:99" s="111" customFormat="1" outlineLevel="1" x14ac:dyDescent="0.3">
      <c r="A103" s="112" t="s">
        <v>784</v>
      </c>
      <c r="B103" s="113">
        <v>67</v>
      </c>
      <c r="C103" s="113">
        <v>48</v>
      </c>
      <c r="E103" s="21"/>
      <c r="F103" s="196"/>
      <c r="G103" s="197"/>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row>
    <row r="104" spans="1:99" s="111" customFormat="1" outlineLevel="1" x14ac:dyDescent="0.3">
      <c r="A104" s="112" t="s">
        <v>785</v>
      </c>
      <c r="B104" s="113">
        <v>72</v>
      </c>
      <c r="C104" s="113">
        <v>52</v>
      </c>
      <c r="E104" s="21"/>
      <c r="F104" s="196"/>
      <c r="G104" s="197"/>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row>
    <row r="105" spans="1:99" s="111" customFormat="1" outlineLevel="1" x14ac:dyDescent="0.3">
      <c r="A105" s="112" t="s">
        <v>786</v>
      </c>
      <c r="B105" s="113">
        <v>78</v>
      </c>
      <c r="C105" s="113">
        <v>59</v>
      </c>
      <c r="E105" s="21"/>
      <c r="F105" s="196"/>
      <c r="G105" s="197"/>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row>
    <row r="106" spans="1:99" s="111" customFormat="1" outlineLevel="1" x14ac:dyDescent="0.3">
      <c r="A106" s="112" t="s">
        <v>787</v>
      </c>
      <c r="B106" s="113">
        <v>84</v>
      </c>
      <c r="C106" s="113">
        <v>65</v>
      </c>
      <c r="E106" s="21"/>
      <c r="F106" s="196"/>
      <c r="G106" s="197"/>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row>
    <row r="107" spans="1:99" s="111" customFormat="1" outlineLevel="1" x14ac:dyDescent="0.3">
      <c r="A107" s="112" t="s">
        <v>788</v>
      </c>
      <c r="B107" s="113">
        <v>93</v>
      </c>
      <c r="C107" s="113">
        <v>74</v>
      </c>
      <c r="E107" s="21"/>
      <c r="F107" s="196"/>
      <c r="G107" s="197"/>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row>
    <row r="108" spans="1:99" s="111" customFormat="1" outlineLevel="1" x14ac:dyDescent="0.3">
      <c r="A108" s="112" t="s">
        <v>789</v>
      </c>
      <c r="B108" s="113">
        <v>105</v>
      </c>
      <c r="C108" s="113">
        <v>86</v>
      </c>
      <c r="E108" s="21"/>
      <c r="F108" s="196"/>
      <c r="G108" s="197"/>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row>
    <row r="109" spans="1:99" s="111" customFormat="1" outlineLevel="1" x14ac:dyDescent="0.3">
      <c r="A109" s="112" t="s">
        <v>790</v>
      </c>
      <c r="B109" s="113">
        <v>117</v>
      </c>
      <c r="C109" s="113">
        <v>98</v>
      </c>
      <c r="E109" s="21"/>
      <c r="F109" s="196"/>
      <c r="G109" s="197"/>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row>
    <row r="110" spans="1:99" s="111" customFormat="1" outlineLevel="1" x14ac:dyDescent="0.3">
      <c r="A110" s="112" t="s">
        <v>791</v>
      </c>
      <c r="B110" s="113">
        <v>128</v>
      </c>
      <c r="C110" s="113">
        <v>109</v>
      </c>
      <c r="E110" s="21"/>
      <c r="F110" s="196"/>
      <c r="G110" s="197"/>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row>
    <row r="111" spans="1:99" s="111" customFormat="1" outlineLevel="1" x14ac:dyDescent="0.3">
      <c r="A111" s="112" t="s">
        <v>792</v>
      </c>
      <c r="B111" s="113">
        <v>138</v>
      </c>
      <c r="C111" s="113">
        <v>119</v>
      </c>
      <c r="E111" s="21"/>
      <c r="F111" s="196"/>
      <c r="G111" s="197"/>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row>
    <row r="112" spans="1:99" s="111" customFormat="1" outlineLevel="1" x14ac:dyDescent="0.3">
      <c r="A112" s="112" t="s">
        <v>793</v>
      </c>
      <c r="B112" s="113">
        <v>148</v>
      </c>
      <c r="C112" s="113">
        <v>129</v>
      </c>
      <c r="E112" s="21"/>
      <c r="F112" s="196"/>
      <c r="G112" s="197"/>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row>
    <row r="113" spans="1:99" s="111" customFormat="1" outlineLevel="1" x14ac:dyDescent="0.3">
      <c r="A113" s="112" t="s">
        <v>794</v>
      </c>
      <c r="B113" s="113">
        <v>159</v>
      </c>
      <c r="C113" s="113">
        <v>140</v>
      </c>
      <c r="E113" s="21"/>
      <c r="F113" s="196"/>
      <c r="G113" s="197"/>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row>
    <row r="114" spans="1:99" s="111" customFormat="1" outlineLevel="1" x14ac:dyDescent="0.3">
      <c r="A114" s="112" t="s">
        <v>795</v>
      </c>
      <c r="B114" s="113">
        <v>171</v>
      </c>
      <c r="C114" s="113">
        <v>152</v>
      </c>
      <c r="E114" s="21"/>
      <c r="F114" s="196"/>
      <c r="G114" s="197"/>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row>
    <row r="115" spans="1:99" s="111" customFormat="1" outlineLevel="1" x14ac:dyDescent="0.3">
      <c r="A115" s="20"/>
      <c r="B115" s="21"/>
      <c r="C115" s="21"/>
      <c r="D115" s="21"/>
      <c r="E115" s="196"/>
      <c r="F115" s="197"/>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row>
    <row r="116" spans="1:99" s="111" customFormat="1" outlineLevel="1" x14ac:dyDescent="0.3">
      <c r="A116" s="20"/>
      <c r="B116" s="21"/>
      <c r="C116" s="21"/>
      <c r="D116" s="21"/>
      <c r="E116" s="194"/>
      <c r="F116" s="195"/>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row>
    <row r="117" spans="1:99" s="111" customFormat="1" outlineLevel="1" x14ac:dyDescent="0.3">
      <c r="A117" s="20"/>
      <c r="B117" s="21"/>
      <c r="C117" s="21"/>
      <c r="D117" s="21"/>
      <c r="E117" s="194"/>
      <c r="F117" s="195"/>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row>
    <row r="118" spans="1:99" s="111" customFormat="1" outlineLevel="1" x14ac:dyDescent="0.3">
      <c r="A118" s="20"/>
      <c r="B118" s="21"/>
      <c r="C118" s="21"/>
      <c r="D118" s="21"/>
      <c r="E118" s="194"/>
      <c r="F118" s="195"/>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row>
    <row r="119" spans="1:99" s="111" customFormat="1" outlineLevel="1" x14ac:dyDescent="0.3">
      <c r="A119" s="20"/>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row>
    <row r="120" spans="1:99" s="111" customFormat="1" outlineLevel="1" x14ac:dyDescent="0.3">
      <c r="A120" s="20"/>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row>
    <row r="121" spans="1:99" s="111" customFormat="1" ht="18" outlineLevel="1" x14ac:dyDescent="0.3">
      <c r="A121" s="58" t="s">
        <v>185</v>
      </c>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row>
    <row r="122" spans="1:99" s="111" customFormat="1" x14ac:dyDescent="0.3">
      <c r="A122" s="114" t="s">
        <v>186</v>
      </c>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row>
    <row r="123" spans="1:99" s="111" customFormat="1" x14ac:dyDescent="0.3">
      <c r="A123" s="115" t="s">
        <v>187</v>
      </c>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row>
    <row r="124" spans="1:99" s="111" customFormat="1" x14ac:dyDescent="0.3">
      <c r="A124" s="20"/>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row>
    <row r="125" spans="1:99" s="111" customFormat="1" outlineLevel="1" x14ac:dyDescent="0.3">
      <c r="A125" s="20"/>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row>
    <row r="126" spans="1:99" s="111" customFormat="1" outlineLevel="1" x14ac:dyDescent="0.3">
      <c r="A126" s="116" t="s">
        <v>188</v>
      </c>
      <c r="B126" s="116" t="s">
        <v>156</v>
      </c>
      <c r="C126" s="116" t="s">
        <v>189</v>
      </c>
      <c r="D126" s="117" t="s">
        <v>190</v>
      </c>
      <c r="E126" s="116" t="s">
        <v>191</v>
      </c>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row>
    <row r="127" spans="1:99" s="111" customFormat="1" outlineLevel="1" x14ac:dyDescent="0.3">
      <c r="A127" s="111" t="s">
        <v>192</v>
      </c>
      <c r="B127" s="118" t="s">
        <v>193</v>
      </c>
      <c r="C127" s="118" t="str">
        <f t="shared" ref="C127:C158" si="0">A127&amp;" "&amp;B127&amp;" "&amp;"CCC: "&amp;D127</f>
        <v>AL Albania CCC: 0,538</v>
      </c>
      <c r="D127" s="119">
        <v>0.53800000000000003</v>
      </c>
      <c r="E127" s="111" t="s">
        <v>194</v>
      </c>
      <c r="F127" s="21"/>
      <c r="G127"/>
      <c r="H127" s="253"/>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row>
    <row r="128" spans="1:99" s="111" customFormat="1" outlineLevel="1" x14ac:dyDescent="0.3">
      <c r="A128" s="111" t="s">
        <v>195</v>
      </c>
      <c r="B128" s="118" t="s">
        <v>196</v>
      </c>
      <c r="C128" s="118" t="str">
        <f t="shared" si="0"/>
        <v>DZ Algeria CCC: 0,62</v>
      </c>
      <c r="D128" s="119">
        <v>0.62</v>
      </c>
      <c r="E128" s="111" t="s">
        <v>197</v>
      </c>
      <c r="F128" s="21"/>
      <c r="G128"/>
      <c r="H128" s="253"/>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row>
    <row r="129" spans="1:98" s="111" customFormat="1" outlineLevel="1" x14ac:dyDescent="0.3">
      <c r="A129" s="111" t="s">
        <v>198</v>
      </c>
      <c r="B129" s="118" t="s">
        <v>199</v>
      </c>
      <c r="C129" s="118" t="str">
        <f t="shared" si="0"/>
        <v>AO Angola CCC: 1,186</v>
      </c>
      <c r="D129" s="119">
        <v>1.1859999999999999</v>
      </c>
      <c r="E129" s="111" t="s">
        <v>197</v>
      </c>
      <c r="F129" s="21"/>
      <c r="G129"/>
      <c r="H129" s="253"/>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row>
    <row r="130" spans="1:98" s="111" customFormat="1" outlineLevel="1" x14ac:dyDescent="0.3">
      <c r="A130" s="111" t="s">
        <v>200</v>
      </c>
      <c r="B130" s="118" t="s">
        <v>201</v>
      </c>
      <c r="C130" s="118" t="str">
        <f t="shared" si="0"/>
        <v>AR Argentina CCC: 0,57</v>
      </c>
      <c r="D130" s="119">
        <v>0.56999999999999995</v>
      </c>
      <c r="E130" s="111" t="s">
        <v>197</v>
      </c>
      <c r="F130" s="21"/>
      <c r="G130" s="254"/>
      <c r="H130" s="255"/>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row>
    <row r="131" spans="1:98" s="111" customFormat="1" outlineLevel="1" x14ac:dyDescent="0.3">
      <c r="A131" s="111" t="s">
        <v>202</v>
      </c>
      <c r="B131" s="118" t="s">
        <v>203</v>
      </c>
      <c r="C131" s="118" t="str">
        <f t="shared" si="0"/>
        <v>AM Armenia CCC: 0,709</v>
      </c>
      <c r="D131" s="119">
        <v>0.70899999999999996</v>
      </c>
      <c r="E131" s="111" t="s">
        <v>194</v>
      </c>
      <c r="F131" s="21"/>
      <c r="G131" s="254"/>
      <c r="H131" s="255"/>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row>
    <row r="132" spans="1:98" s="111" customFormat="1" outlineLevel="1" x14ac:dyDescent="0.3">
      <c r="A132" s="111" t="s">
        <v>204</v>
      </c>
      <c r="B132" s="118" t="s">
        <v>205</v>
      </c>
      <c r="C132" s="118" t="str">
        <f t="shared" si="0"/>
        <v>AU Australia CCC: 0,921</v>
      </c>
      <c r="D132" s="119">
        <v>0.92100000000000004</v>
      </c>
      <c r="E132" s="111" t="s">
        <v>197</v>
      </c>
      <c r="F132" s="21"/>
      <c r="G132"/>
      <c r="H132" s="253"/>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row>
    <row r="133" spans="1:98" s="111" customFormat="1" outlineLevel="1" x14ac:dyDescent="0.3">
      <c r="A133" s="111" t="s">
        <v>206</v>
      </c>
      <c r="B133" s="118" t="s">
        <v>207</v>
      </c>
      <c r="C133" s="118" t="str">
        <f t="shared" si="0"/>
        <v>AT Austria CCC: 0,97</v>
      </c>
      <c r="D133" s="119">
        <v>0.97</v>
      </c>
      <c r="E133" s="111" t="s">
        <v>208</v>
      </c>
      <c r="F133" s="21"/>
      <c r="G133"/>
      <c r="H133" s="253"/>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row>
    <row r="134" spans="1:98" s="111" customFormat="1" outlineLevel="1" x14ac:dyDescent="0.3">
      <c r="A134" s="111" t="s">
        <v>209</v>
      </c>
      <c r="B134" s="118" t="s">
        <v>210</v>
      </c>
      <c r="C134" s="118" t="str">
        <f t="shared" si="0"/>
        <v>AZ Azerbaijan CCC: 0,749</v>
      </c>
      <c r="D134" s="119">
        <v>0.749</v>
      </c>
      <c r="E134" s="111" t="s">
        <v>197</v>
      </c>
      <c r="F134" s="21"/>
      <c r="G134" s="254"/>
      <c r="H134" s="255"/>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row>
    <row r="135" spans="1:98" s="111" customFormat="1" outlineLevel="1" x14ac:dyDescent="0.3">
      <c r="A135" s="111" t="s">
        <v>211</v>
      </c>
      <c r="B135" s="118" t="s">
        <v>212</v>
      </c>
      <c r="C135" s="118" t="str">
        <f t="shared" si="0"/>
        <v>BD Bangladesh CCC: 0,741</v>
      </c>
      <c r="D135" s="119">
        <v>0.74099999999999999</v>
      </c>
      <c r="E135" s="111" t="s">
        <v>197</v>
      </c>
      <c r="F135" s="21"/>
      <c r="G135"/>
      <c r="H135" s="253"/>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row>
    <row r="136" spans="1:98" s="111" customFormat="1" outlineLevel="1" x14ac:dyDescent="0.3">
      <c r="A136" s="111" t="s">
        <v>213</v>
      </c>
      <c r="B136" s="118" t="s">
        <v>214</v>
      </c>
      <c r="C136" s="118" t="str">
        <f t="shared" si="0"/>
        <v>BB Barbados CCC: 1,029</v>
      </c>
      <c r="D136" s="119">
        <v>1.0289999999999999</v>
      </c>
      <c r="E136" s="111" t="s">
        <v>197</v>
      </c>
      <c r="F136" s="21"/>
      <c r="G136" s="254"/>
      <c r="H136" s="255"/>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row>
    <row r="137" spans="1:98" s="111" customFormat="1" outlineLevel="1" x14ac:dyDescent="0.3">
      <c r="A137" s="111" t="s">
        <v>215</v>
      </c>
      <c r="B137" s="118" t="s">
        <v>216</v>
      </c>
      <c r="C137" s="118" t="str">
        <f t="shared" si="0"/>
        <v>BY Belarus CCC: 0,609</v>
      </c>
      <c r="D137" s="119">
        <v>0.60899999999999999</v>
      </c>
      <c r="E137" s="111" t="s">
        <v>197</v>
      </c>
      <c r="F137" s="21"/>
      <c r="G137" s="254"/>
      <c r="H137" s="255"/>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row>
    <row r="138" spans="1:98" s="111" customFormat="1" outlineLevel="1" x14ac:dyDescent="0.3">
      <c r="A138" s="111" t="s">
        <v>217</v>
      </c>
      <c r="B138" s="118" t="s">
        <v>218</v>
      </c>
      <c r="C138" s="118" t="str">
        <f t="shared" si="0"/>
        <v>BE Belgium CCC: 0,912</v>
      </c>
      <c r="D138" s="119">
        <v>0.91200000000000003</v>
      </c>
      <c r="E138" s="111" t="s">
        <v>208</v>
      </c>
      <c r="F138" s="21"/>
      <c r="G138" s="254"/>
      <c r="H138" s="255"/>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row>
    <row r="139" spans="1:98" s="111" customFormat="1" outlineLevel="1" x14ac:dyDescent="0.3">
      <c r="A139" s="111" t="s">
        <v>219</v>
      </c>
      <c r="B139" s="118" t="s">
        <v>220</v>
      </c>
      <c r="C139" s="118" t="str">
        <f t="shared" si="0"/>
        <v>BZ Belize CCC: 0,729</v>
      </c>
      <c r="D139" s="119">
        <v>0.72899999999999998</v>
      </c>
      <c r="E139" s="111" t="s">
        <v>197</v>
      </c>
      <c r="F139" s="21"/>
      <c r="G139"/>
      <c r="H139" s="253"/>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row>
    <row r="140" spans="1:98" s="111" customFormat="1" outlineLevel="1" x14ac:dyDescent="0.3">
      <c r="A140" s="111" t="s">
        <v>221</v>
      </c>
      <c r="B140" s="118" t="s">
        <v>222</v>
      </c>
      <c r="C140" s="118" t="str">
        <f t="shared" si="0"/>
        <v>BJ Benin CCC: 0,839</v>
      </c>
      <c r="D140" s="119">
        <v>0.83899999999999997</v>
      </c>
      <c r="E140" s="111" t="s">
        <v>197</v>
      </c>
      <c r="F140" s="21"/>
      <c r="G140" s="254"/>
      <c r="H140" s="255"/>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row>
    <row r="141" spans="1:98" s="111" customFormat="1" outlineLevel="1" x14ac:dyDescent="0.3">
      <c r="A141" s="111" t="s">
        <v>223</v>
      </c>
      <c r="B141" s="118" t="s">
        <v>224</v>
      </c>
      <c r="C141" s="118" t="str">
        <f t="shared" si="0"/>
        <v xml:space="preserve">BM Bermuda CCC: </v>
      </c>
      <c r="D141" s="119"/>
      <c r="E141" s="111" t="s">
        <v>197</v>
      </c>
      <c r="F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row>
    <row r="142" spans="1:98" s="111" customFormat="1" outlineLevel="1" x14ac:dyDescent="0.3">
      <c r="A142" s="111" t="s">
        <v>225</v>
      </c>
      <c r="B142" s="118" t="s">
        <v>226</v>
      </c>
      <c r="C142" s="118" t="str">
        <f t="shared" si="0"/>
        <v>BO Bolivia (Plurinational State of) CCC: 0,766</v>
      </c>
      <c r="D142" s="119">
        <v>0.76600000000000001</v>
      </c>
      <c r="E142" s="111" t="s">
        <v>197</v>
      </c>
      <c r="F142" s="21"/>
      <c r="G142"/>
      <c r="H142" s="253"/>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row>
    <row r="143" spans="1:98" s="111" customFormat="1" outlineLevel="1" x14ac:dyDescent="0.3">
      <c r="A143" s="111" t="s">
        <v>227</v>
      </c>
      <c r="B143" s="118" t="s">
        <v>228</v>
      </c>
      <c r="C143" s="118" t="str">
        <f t="shared" si="0"/>
        <v>BA Bosnia and Herzegovina CCC: 0,583</v>
      </c>
      <c r="D143" s="119">
        <v>0.58299999999999996</v>
      </c>
      <c r="E143" s="111" t="s">
        <v>194</v>
      </c>
      <c r="F143" s="21"/>
      <c r="G143"/>
      <c r="H143" s="253"/>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row>
    <row r="144" spans="1:98" s="111" customFormat="1" outlineLevel="1" x14ac:dyDescent="0.3">
      <c r="A144" s="111" t="s">
        <v>229</v>
      </c>
      <c r="B144" s="118" t="s">
        <v>230</v>
      </c>
      <c r="C144" s="118" t="str">
        <f t="shared" si="0"/>
        <v>BW Botswana CCC: 0,574</v>
      </c>
      <c r="D144" s="119">
        <v>0.57399999999999995</v>
      </c>
      <c r="E144" s="111" t="s">
        <v>197</v>
      </c>
      <c r="F144" s="21"/>
      <c r="G144"/>
      <c r="H144" s="253"/>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row>
    <row r="145" spans="1:98" s="111" customFormat="1" outlineLevel="1" x14ac:dyDescent="0.3">
      <c r="A145" s="111" t="s">
        <v>231</v>
      </c>
      <c r="B145" s="118" t="s">
        <v>232</v>
      </c>
      <c r="C145" s="118" t="str">
        <f t="shared" si="0"/>
        <v>BR Brazil CCC: 0,773</v>
      </c>
      <c r="D145" s="119">
        <v>0.77300000000000002</v>
      </c>
      <c r="E145" s="111" t="s">
        <v>197</v>
      </c>
      <c r="F145" s="21"/>
      <c r="G145" s="254"/>
      <c r="H145" s="255"/>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row>
    <row r="146" spans="1:98" s="111" customFormat="1" outlineLevel="1" x14ac:dyDescent="0.3">
      <c r="A146" s="111" t="s">
        <v>233</v>
      </c>
      <c r="B146" s="118" t="s">
        <v>234</v>
      </c>
      <c r="C146" s="118" t="str">
        <f t="shared" si="0"/>
        <v>BG Bulgaria CCC: 0,5</v>
      </c>
      <c r="D146" s="119">
        <v>0.5</v>
      </c>
      <c r="E146" s="111" t="s">
        <v>208</v>
      </c>
      <c r="F146" s="21"/>
      <c r="G146"/>
      <c r="H146" s="253"/>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row>
    <row r="147" spans="1:98" s="111" customFormat="1" outlineLevel="1" x14ac:dyDescent="0.3">
      <c r="A147" s="111" t="s">
        <v>235</v>
      </c>
      <c r="B147" s="118" t="s">
        <v>236</v>
      </c>
      <c r="C147" s="118" t="str">
        <f t="shared" si="0"/>
        <v>BF Burkina Faso CCC: 0,867</v>
      </c>
      <c r="D147" s="119">
        <v>0.86699999999999999</v>
      </c>
      <c r="E147" s="111" t="s">
        <v>197</v>
      </c>
      <c r="F147" s="21"/>
      <c r="G147" s="254"/>
      <c r="H147" s="255"/>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row>
    <row r="148" spans="1:98" s="111" customFormat="1" outlineLevel="1" x14ac:dyDescent="0.3">
      <c r="A148" s="111" t="s">
        <v>237</v>
      </c>
      <c r="B148" s="118" t="s">
        <v>238</v>
      </c>
      <c r="C148" s="118" t="str">
        <f t="shared" si="0"/>
        <v>BI Burundi CCC: 0,742</v>
      </c>
      <c r="D148" s="119">
        <v>0.74199999999999999</v>
      </c>
      <c r="E148" s="111" t="s">
        <v>197</v>
      </c>
      <c r="F148" s="21"/>
      <c r="G148"/>
      <c r="H148" s="253"/>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row>
    <row r="149" spans="1:98" s="111" customFormat="1" outlineLevel="1" x14ac:dyDescent="0.3">
      <c r="A149" s="111" t="s">
        <v>239</v>
      </c>
      <c r="B149" s="118" t="s">
        <v>240</v>
      </c>
      <c r="C149" s="118" t="str">
        <f t="shared" si="0"/>
        <v>CV Cabo Verde CCC: 0,635</v>
      </c>
      <c r="D149" s="119">
        <v>0.63500000000000001</v>
      </c>
      <c r="E149" s="111" t="s">
        <v>197</v>
      </c>
      <c r="F149" s="21"/>
      <c r="G149" s="254"/>
      <c r="H149" s="255"/>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row>
    <row r="150" spans="1:98" s="111" customFormat="1" outlineLevel="1" x14ac:dyDescent="0.3">
      <c r="A150" s="111" t="s">
        <v>241</v>
      </c>
      <c r="B150" s="118" t="s">
        <v>242</v>
      </c>
      <c r="C150" s="118" t="str">
        <f t="shared" si="0"/>
        <v>KH Cambodia CCC: 0,717</v>
      </c>
      <c r="D150" s="119">
        <v>0.71699999999999997</v>
      </c>
      <c r="E150" s="111" t="s">
        <v>197</v>
      </c>
      <c r="F150" s="21"/>
      <c r="G150" s="254"/>
      <c r="H150" s="255"/>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row>
    <row r="151" spans="1:98" s="111" customFormat="1" outlineLevel="1" x14ac:dyDescent="0.3">
      <c r="A151" s="111" t="s">
        <v>243</v>
      </c>
      <c r="B151" s="118" t="s">
        <v>244</v>
      </c>
      <c r="C151" s="118" t="str">
        <f t="shared" si="0"/>
        <v>CM Cameroon CCC: 0,801</v>
      </c>
      <c r="D151" s="119">
        <v>0.80100000000000005</v>
      </c>
      <c r="E151" s="111" t="s">
        <v>197</v>
      </c>
      <c r="F151" s="21"/>
      <c r="G151"/>
      <c r="H151" s="253"/>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row>
    <row r="152" spans="1:98" s="111" customFormat="1" outlineLevel="1" x14ac:dyDescent="0.3">
      <c r="A152" s="111" t="s">
        <v>245</v>
      </c>
      <c r="B152" s="118" t="s">
        <v>246</v>
      </c>
      <c r="C152" s="118" t="str">
        <f t="shared" si="0"/>
        <v>CA Canada CCC: 0,869</v>
      </c>
      <c r="D152" s="119">
        <v>0.86899999999999999</v>
      </c>
      <c r="E152" s="111" t="s">
        <v>197</v>
      </c>
      <c r="F152" s="21"/>
      <c r="G152" s="254"/>
      <c r="H152" s="255"/>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row>
    <row r="153" spans="1:98" s="111" customFormat="1" outlineLevel="1" x14ac:dyDescent="0.3">
      <c r="A153" s="111" t="s">
        <v>247</v>
      </c>
      <c r="B153" s="118" t="s">
        <v>248</v>
      </c>
      <c r="C153" s="118" t="str">
        <f t="shared" si="0"/>
        <v>CF Central African Republic (the) CCC: 0,997</v>
      </c>
      <c r="D153" s="119">
        <v>0.997</v>
      </c>
      <c r="E153" s="111" t="s">
        <v>197</v>
      </c>
      <c r="F153" s="21"/>
      <c r="G153" s="254"/>
      <c r="H153" s="255"/>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row>
    <row r="154" spans="1:98" s="111" customFormat="1" outlineLevel="1" x14ac:dyDescent="0.3">
      <c r="A154" s="111" t="s">
        <v>249</v>
      </c>
      <c r="B154" s="118" t="s">
        <v>250</v>
      </c>
      <c r="C154" s="118" t="str">
        <f t="shared" si="0"/>
        <v>TD Chad CCC: 0,913</v>
      </c>
      <c r="D154" s="119">
        <v>0.91300000000000003</v>
      </c>
      <c r="E154" s="111" t="s">
        <v>197</v>
      </c>
      <c r="F154" s="21"/>
      <c r="G154" s="254"/>
      <c r="H154" s="255"/>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row>
    <row r="155" spans="1:98" s="111" customFormat="1" outlineLevel="1" x14ac:dyDescent="0.3">
      <c r="A155" s="111" t="s">
        <v>251</v>
      </c>
      <c r="B155" s="118" t="s">
        <v>252</v>
      </c>
      <c r="C155" s="118" t="str">
        <f t="shared" si="0"/>
        <v>CL Chile CCC: 0,634</v>
      </c>
      <c r="D155" s="119">
        <v>0.63400000000000001</v>
      </c>
      <c r="E155" s="111" t="s">
        <v>197</v>
      </c>
      <c r="F155" s="21"/>
      <c r="G155" s="254"/>
      <c r="H155" s="255"/>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row>
    <row r="156" spans="1:98" s="111" customFormat="1" outlineLevel="1" x14ac:dyDescent="0.3">
      <c r="A156" s="111" t="s">
        <v>253</v>
      </c>
      <c r="B156" s="118" t="s">
        <v>254</v>
      </c>
      <c r="C156" s="118" t="str">
        <f t="shared" si="0"/>
        <v>CN China CCC: 0,821</v>
      </c>
      <c r="D156" s="119">
        <v>0.82099999999999995</v>
      </c>
      <c r="E156" s="111" t="s">
        <v>197</v>
      </c>
      <c r="F156" s="21"/>
      <c r="G156" s="254"/>
      <c r="H156" s="255"/>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row>
    <row r="157" spans="1:98" s="111" customFormat="1" outlineLevel="1" x14ac:dyDescent="0.3">
      <c r="A157" s="111" t="s">
        <v>255</v>
      </c>
      <c r="B157" s="118" t="s">
        <v>256</v>
      </c>
      <c r="C157" s="118" t="str">
        <f t="shared" si="0"/>
        <v>CO Colombia CCC: 0,617</v>
      </c>
      <c r="D157" s="119">
        <v>0.61699999999999999</v>
      </c>
      <c r="E157" s="111" t="s">
        <v>197</v>
      </c>
      <c r="F157" s="21"/>
      <c r="G157"/>
      <c r="H157" s="253"/>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row>
    <row r="158" spans="1:98" s="111" customFormat="1" outlineLevel="1" x14ac:dyDescent="0.3">
      <c r="A158" s="111" t="s">
        <v>257</v>
      </c>
      <c r="B158" s="118" t="s">
        <v>258</v>
      </c>
      <c r="C158" s="118" t="str">
        <f t="shared" si="0"/>
        <v>KM Comoros (the) CCC: 0,691</v>
      </c>
      <c r="D158" s="119">
        <v>0.69099999999999995</v>
      </c>
      <c r="E158" s="111" t="s">
        <v>197</v>
      </c>
      <c r="F158" s="21"/>
      <c r="G158"/>
      <c r="H158" s="253"/>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row>
    <row r="159" spans="1:98" s="111" customFormat="1" outlineLevel="1" x14ac:dyDescent="0.3">
      <c r="A159" s="111" t="s">
        <v>259</v>
      </c>
      <c r="B159" s="118" t="s">
        <v>260</v>
      </c>
      <c r="C159" s="118" t="str">
        <f t="shared" ref="C159:C190" si="1">A159&amp;" "&amp;B159&amp;" "&amp;"CCC: "&amp;D159</f>
        <v>CD Congo (the Democratic Republic of the) CCC: 1,386</v>
      </c>
      <c r="D159" s="119">
        <v>1.3859999999999999</v>
      </c>
      <c r="E159" s="111" t="s">
        <v>197</v>
      </c>
      <c r="F159" s="21"/>
      <c r="G159"/>
      <c r="H159" s="253"/>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row>
    <row r="160" spans="1:98" s="111" customFormat="1" outlineLevel="1" x14ac:dyDescent="0.3">
      <c r="A160" s="111" t="s">
        <v>261</v>
      </c>
      <c r="B160" s="118" t="s">
        <v>262</v>
      </c>
      <c r="C160" s="118" t="str">
        <f t="shared" si="1"/>
        <v>CG Congo (the) CCC: 1,07</v>
      </c>
      <c r="D160" s="119">
        <v>1.07</v>
      </c>
      <c r="E160" s="111" t="s">
        <v>197</v>
      </c>
      <c r="F160" s="21"/>
      <c r="G160"/>
      <c r="H160" s="253"/>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row>
    <row r="161" spans="1:98" s="111" customFormat="1" outlineLevel="1" x14ac:dyDescent="0.3">
      <c r="A161" s="111" t="s">
        <v>263</v>
      </c>
      <c r="B161" s="118" t="s">
        <v>264</v>
      </c>
      <c r="C161" s="118" t="str">
        <f t="shared" si="1"/>
        <v>CR Costa Rica CCC: 0,708</v>
      </c>
      <c r="D161" s="119">
        <v>0.70799999999999996</v>
      </c>
      <c r="E161" s="111" t="s">
        <v>197</v>
      </c>
      <c r="F161" s="21"/>
      <c r="G161" s="254"/>
      <c r="H161" s="255"/>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row>
    <row r="162" spans="1:98" s="111" customFormat="1" outlineLevel="1" x14ac:dyDescent="0.3">
      <c r="A162" s="111" t="s">
        <v>265</v>
      </c>
      <c r="B162" s="118" t="s">
        <v>266</v>
      </c>
      <c r="C162" s="118" t="str">
        <f t="shared" si="1"/>
        <v>CI Côte d'Ivoire CCC: 0,863</v>
      </c>
      <c r="D162" s="119">
        <v>0.86299999999999999</v>
      </c>
      <c r="E162" s="111" t="s">
        <v>197</v>
      </c>
      <c r="F162" s="21"/>
      <c r="G162"/>
      <c r="H162" s="253"/>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row>
    <row r="163" spans="1:98" s="111" customFormat="1" outlineLevel="1" x14ac:dyDescent="0.3">
      <c r="A163" s="111" t="s">
        <v>267</v>
      </c>
      <c r="B163" s="118" t="s">
        <v>268</v>
      </c>
      <c r="C163" s="118" t="str">
        <f t="shared" si="1"/>
        <v>HR Croatia CCC: 0,689</v>
      </c>
      <c r="D163" s="119">
        <v>0.68899999999999995</v>
      </c>
      <c r="E163" s="111" t="s">
        <v>208</v>
      </c>
      <c r="F163" s="21"/>
      <c r="G163"/>
      <c r="H163" s="253"/>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row>
    <row r="164" spans="1:98" s="111" customFormat="1" outlineLevel="1" x14ac:dyDescent="0.3">
      <c r="A164" s="111" t="s">
        <v>269</v>
      </c>
      <c r="B164" s="118" t="s">
        <v>270</v>
      </c>
      <c r="C164" s="118" t="str">
        <f t="shared" si="1"/>
        <v>CU Cuba CCC: 0,753</v>
      </c>
      <c r="D164" s="119">
        <v>0.753</v>
      </c>
      <c r="E164" s="111" t="s">
        <v>197</v>
      </c>
      <c r="F164" s="21"/>
      <c r="G164"/>
      <c r="H164" s="253"/>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row>
    <row r="165" spans="1:98" s="111" customFormat="1" outlineLevel="1" x14ac:dyDescent="0.3">
      <c r="A165" s="111" t="s">
        <v>271</v>
      </c>
      <c r="B165" s="118" t="s">
        <v>272</v>
      </c>
      <c r="C165" s="118" t="str">
        <f t="shared" si="1"/>
        <v>CY Cyprus CCC: 0,707</v>
      </c>
      <c r="D165" s="119">
        <v>0.70699999999999996</v>
      </c>
      <c r="E165" s="111" t="s">
        <v>208</v>
      </c>
      <c r="F165" s="21"/>
      <c r="G165" s="254"/>
      <c r="H165" s="255"/>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row>
    <row r="166" spans="1:98" s="111" customFormat="1" outlineLevel="1" x14ac:dyDescent="0.3">
      <c r="A166" s="111" t="s">
        <v>273</v>
      </c>
      <c r="B166" s="118" t="s">
        <v>274</v>
      </c>
      <c r="C166" s="118" t="str">
        <f t="shared" si="1"/>
        <v>CZ Czechia CCC: 0,722</v>
      </c>
      <c r="D166" s="119">
        <v>0.72199999999999998</v>
      </c>
      <c r="E166" s="111" t="s">
        <v>208</v>
      </c>
      <c r="F166" s="21"/>
      <c r="G166"/>
      <c r="H166" s="253"/>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row>
    <row r="167" spans="1:98" s="111" customFormat="1" outlineLevel="1" x14ac:dyDescent="0.3">
      <c r="A167" s="111" t="s">
        <v>275</v>
      </c>
      <c r="B167" s="118" t="s">
        <v>276</v>
      </c>
      <c r="C167" s="118" t="str">
        <f t="shared" si="1"/>
        <v>DK Denmark CCC: 1,204</v>
      </c>
      <c r="D167" s="119">
        <v>1.204</v>
      </c>
      <c r="E167" s="111" t="s">
        <v>208</v>
      </c>
      <c r="F167" s="21"/>
      <c r="G167"/>
      <c r="H167" s="253"/>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row>
    <row r="168" spans="1:98" s="111" customFormat="1" outlineLevel="1" x14ac:dyDescent="0.3">
      <c r="A168" s="111" t="s">
        <v>277</v>
      </c>
      <c r="B168" s="118" t="s">
        <v>278</v>
      </c>
      <c r="C168" s="118" t="str">
        <f t="shared" si="1"/>
        <v>DJ Djibouti CCC: 0,796</v>
      </c>
      <c r="D168" s="119">
        <v>0.79600000000000004</v>
      </c>
      <c r="E168" s="111" t="s">
        <v>197</v>
      </c>
      <c r="F168" s="21"/>
      <c r="G168"/>
      <c r="H168" s="253"/>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row>
    <row r="169" spans="1:98" s="111" customFormat="1" outlineLevel="1" x14ac:dyDescent="0.3">
      <c r="A169" s="111" t="s">
        <v>279</v>
      </c>
      <c r="B169" s="118" t="s">
        <v>280</v>
      </c>
      <c r="C169" s="118" t="str">
        <f t="shared" si="1"/>
        <v>DO Dominican Republic (the) CCC: 0,56</v>
      </c>
      <c r="D169" s="119">
        <v>0.56000000000000005</v>
      </c>
      <c r="E169" s="111" t="s">
        <v>197</v>
      </c>
      <c r="F169" s="21"/>
      <c r="G169" s="254"/>
      <c r="H169" s="255"/>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row>
    <row r="170" spans="1:98" s="111" customFormat="1" outlineLevel="1" x14ac:dyDescent="0.3">
      <c r="A170" s="111" t="s">
        <v>281</v>
      </c>
      <c r="B170" s="118" t="s">
        <v>282</v>
      </c>
      <c r="C170" s="118" t="str">
        <f t="shared" si="1"/>
        <v>EC Ecuador CCC: 0,724</v>
      </c>
      <c r="D170" s="119">
        <v>0.72399999999999998</v>
      </c>
      <c r="E170" s="111" t="s">
        <v>197</v>
      </c>
      <c r="F170" s="21"/>
      <c r="G170" s="254"/>
      <c r="H170" s="255"/>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row>
    <row r="171" spans="1:98" s="111" customFormat="1" outlineLevel="1" x14ac:dyDescent="0.3">
      <c r="A171" s="111" t="s">
        <v>283</v>
      </c>
      <c r="B171" s="118" t="s">
        <v>284</v>
      </c>
      <c r="C171" s="118" t="str">
        <f t="shared" si="1"/>
        <v>EG Egypt CCC: 0,615</v>
      </c>
      <c r="D171" s="119">
        <v>0.61499999999999999</v>
      </c>
      <c r="E171" s="111" t="s">
        <v>197</v>
      </c>
      <c r="F171" s="21"/>
      <c r="G171"/>
      <c r="H171" s="253"/>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row>
    <row r="172" spans="1:98" s="111" customFormat="1" outlineLevel="1" x14ac:dyDescent="0.3">
      <c r="A172" s="111" t="s">
        <v>285</v>
      </c>
      <c r="B172" s="118" t="s">
        <v>286</v>
      </c>
      <c r="C172" s="118" t="str">
        <f t="shared" si="1"/>
        <v>SV El Salvador CCC: 0,659</v>
      </c>
      <c r="D172" s="119">
        <v>0.65900000000000003</v>
      </c>
      <c r="E172" s="111" t="s">
        <v>197</v>
      </c>
      <c r="F172" s="21"/>
      <c r="G172" s="254"/>
      <c r="H172" s="255"/>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row>
    <row r="173" spans="1:98" s="111" customFormat="1" outlineLevel="1" x14ac:dyDescent="0.3">
      <c r="A173" s="111" t="s">
        <v>287</v>
      </c>
      <c r="B173" s="118" t="s">
        <v>288</v>
      </c>
      <c r="C173" s="118" t="str">
        <f t="shared" si="1"/>
        <v>ER Eritrea CCC: 1,099</v>
      </c>
      <c r="D173" s="119">
        <v>1.099</v>
      </c>
      <c r="E173" s="111" t="s">
        <v>197</v>
      </c>
      <c r="F173" s="21"/>
      <c r="G173" s="254"/>
      <c r="H173" s="255"/>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row>
    <row r="174" spans="1:98" s="111" customFormat="1" outlineLevel="1" x14ac:dyDescent="0.3">
      <c r="A174" s="111" t="s">
        <v>289</v>
      </c>
      <c r="B174" s="118" t="s">
        <v>290</v>
      </c>
      <c r="C174" s="118" t="str">
        <f t="shared" si="1"/>
        <v>EE Estonia CCC: 0,733</v>
      </c>
      <c r="D174" s="119">
        <v>0.73299999999999998</v>
      </c>
      <c r="E174" s="111" t="s">
        <v>208</v>
      </c>
      <c r="F174" s="21"/>
      <c r="G174" s="254"/>
      <c r="H174" s="255"/>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row>
    <row r="175" spans="1:98" s="111" customFormat="1" outlineLevel="1" x14ac:dyDescent="0.3">
      <c r="A175" s="111" t="s">
        <v>291</v>
      </c>
      <c r="B175" s="118" t="s">
        <v>292</v>
      </c>
      <c r="C175" s="118" t="str">
        <f t="shared" si="1"/>
        <v>SZ Eswatini CCC: 0,559</v>
      </c>
      <c r="D175" s="119">
        <v>0.55900000000000005</v>
      </c>
      <c r="E175" s="111" t="s">
        <v>197</v>
      </c>
      <c r="F175" s="21"/>
      <c r="G175"/>
      <c r="H175" s="253"/>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row>
    <row r="176" spans="1:98" s="111" customFormat="1" outlineLevel="1" x14ac:dyDescent="0.3">
      <c r="A176" s="111" t="s">
        <v>293</v>
      </c>
      <c r="B176" s="118" t="s">
        <v>294</v>
      </c>
      <c r="C176" s="118" t="str">
        <f t="shared" si="1"/>
        <v>ET Ethiopia CCC: 0,747</v>
      </c>
      <c r="D176" s="119">
        <v>0.747</v>
      </c>
      <c r="E176" s="111" t="s">
        <v>197</v>
      </c>
      <c r="F176" s="21"/>
      <c r="G176"/>
      <c r="H176" s="253"/>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row>
    <row r="177" spans="1:98" s="111" customFormat="1" outlineLevel="1" x14ac:dyDescent="0.3">
      <c r="A177" s="111" t="s">
        <v>295</v>
      </c>
      <c r="B177" s="118" t="s">
        <v>296</v>
      </c>
      <c r="C177" s="118" t="str">
        <f t="shared" si="1"/>
        <v>FO Faroe Islands (the) CCC: 1,204</v>
      </c>
      <c r="D177" s="119">
        <v>1.204</v>
      </c>
      <c r="E177" s="111" t="s">
        <v>194</v>
      </c>
      <c r="F177" s="21"/>
      <c r="G177"/>
      <c r="H177" s="253"/>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row>
    <row r="178" spans="1:98" s="111" customFormat="1" outlineLevel="1" x14ac:dyDescent="0.3">
      <c r="A178" s="111" t="s">
        <v>297</v>
      </c>
      <c r="B178" s="118" t="s">
        <v>298</v>
      </c>
      <c r="C178" s="118" t="str">
        <f t="shared" si="1"/>
        <v>FJ Fiji CCC: 0,671</v>
      </c>
      <c r="D178" s="119">
        <v>0.67100000000000004</v>
      </c>
      <c r="E178" s="111" t="s">
        <v>197</v>
      </c>
      <c r="F178" s="21"/>
      <c r="G178" s="254"/>
      <c r="H178" s="255"/>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row>
    <row r="179" spans="1:98" s="111" customFormat="1" outlineLevel="1" x14ac:dyDescent="0.3">
      <c r="A179" s="111" t="s">
        <v>299</v>
      </c>
      <c r="B179" s="118" t="s">
        <v>300</v>
      </c>
      <c r="C179" s="118" t="str">
        <f t="shared" si="1"/>
        <v>FI Finland CCC: 1,09</v>
      </c>
      <c r="D179" s="119">
        <v>1.0900000000000001</v>
      </c>
      <c r="E179" s="111" t="s">
        <v>208</v>
      </c>
      <c r="F179" s="21"/>
      <c r="G179"/>
      <c r="H179" s="253"/>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row>
    <row r="180" spans="1:98" s="111" customFormat="1" outlineLevel="1" x14ac:dyDescent="0.3">
      <c r="A180" s="111" t="s">
        <v>301</v>
      </c>
      <c r="B180" s="118" t="s">
        <v>302</v>
      </c>
      <c r="C180" s="118" t="str">
        <f t="shared" si="1"/>
        <v>FR France CCC: 1,062</v>
      </c>
      <c r="D180" s="119">
        <v>1.0620000000000001</v>
      </c>
      <c r="E180" s="111" t="s">
        <v>208</v>
      </c>
      <c r="F180" s="21"/>
      <c r="G180" s="254"/>
      <c r="H180" s="255"/>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row>
    <row r="181" spans="1:98" s="111" customFormat="1" outlineLevel="1" x14ac:dyDescent="0.3">
      <c r="A181" s="111" t="s">
        <v>303</v>
      </c>
      <c r="B181" s="118" t="s">
        <v>304</v>
      </c>
      <c r="C181" s="118" t="str">
        <f t="shared" si="1"/>
        <v>GA Gabon CCC: 0,984</v>
      </c>
      <c r="D181" s="119">
        <v>0.98399999999999999</v>
      </c>
      <c r="E181" s="111" t="s">
        <v>197</v>
      </c>
      <c r="F181" s="21"/>
      <c r="G181" s="254"/>
      <c r="H181" s="255"/>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row>
    <row r="182" spans="1:98" s="111" customFormat="1" outlineLevel="1" x14ac:dyDescent="0.3">
      <c r="A182" s="111" t="s">
        <v>305</v>
      </c>
      <c r="B182" s="118" t="s">
        <v>306</v>
      </c>
      <c r="C182" s="118" t="str">
        <f t="shared" si="1"/>
        <v>GM Gambia (the) CCC: 0,628</v>
      </c>
      <c r="D182" s="119">
        <v>0.628</v>
      </c>
      <c r="E182" s="111" t="s">
        <v>197</v>
      </c>
      <c r="F182" s="21"/>
      <c r="G182"/>
      <c r="H182" s="253"/>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row>
    <row r="183" spans="1:98" s="111" customFormat="1" outlineLevel="1" x14ac:dyDescent="0.3">
      <c r="A183" s="111" t="s">
        <v>307</v>
      </c>
      <c r="B183" s="118" t="s">
        <v>308</v>
      </c>
      <c r="C183" s="118" t="str">
        <f t="shared" si="1"/>
        <v>GE Georgia CCC: 0,568</v>
      </c>
      <c r="D183" s="119">
        <v>0.56799999999999995</v>
      </c>
      <c r="E183" s="111" t="s">
        <v>194</v>
      </c>
      <c r="F183" s="21"/>
      <c r="G183"/>
      <c r="H183" s="253"/>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row>
    <row r="184" spans="1:98" s="111" customFormat="1" outlineLevel="1" x14ac:dyDescent="0.3">
      <c r="A184" s="111" t="s">
        <v>309</v>
      </c>
      <c r="B184" s="118" t="s">
        <v>310</v>
      </c>
      <c r="C184" s="118" t="str">
        <f t="shared" si="1"/>
        <v>DE Germany CCC: 0,897</v>
      </c>
      <c r="D184" s="119">
        <v>0.89700000000000002</v>
      </c>
      <c r="E184" s="111" t="s">
        <v>208</v>
      </c>
      <c r="F184" s="21"/>
      <c r="G184" s="254"/>
      <c r="H184" s="255"/>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row>
    <row r="185" spans="1:98" s="111" customFormat="1" outlineLevel="1" x14ac:dyDescent="0.3">
      <c r="A185" s="111" t="s">
        <v>311</v>
      </c>
      <c r="B185" s="118" t="s">
        <v>312</v>
      </c>
      <c r="C185" s="118" t="str">
        <f t="shared" si="1"/>
        <v>GH Ghana CCC: 0,674</v>
      </c>
      <c r="D185" s="119">
        <v>0.67400000000000004</v>
      </c>
      <c r="E185" s="111" t="s">
        <v>197</v>
      </c>
      <c r="F185" s="21"/>
      <c r="G185" s="254"/>
      <c r="H185" s="255"/>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row>
    <row r="186" spans="1:98" s="111" customFormat="1" outlineLevel="1" x14ac:dyDescent="0.3">
      <c r="A186" s="111" t="s">
        <v>313</v>
      </c>
      <c r="B186" s="118" t="s">
        <v>314</v>
      </c>
      <c r="C186" s="118" t="str">
        <f t="shared" si="1"/>
        <v>GT Guatemala CCC: 0,797</v>
      </c>
      <c r="D186" s="119">
        <v>0.79700000000000004</v>
      </c>
      <c r="E186" s="111" t="s">
        <v>197</v>
      </c>
      <c r="F186" s="21"/>
      <c r="G186"/>
      <c r="H186" s="253"/>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row>
    <row r="187" spans="1:98" s="111" customFormat="1" outlineLevel="1" x14ac:dyDescent="0.3">
      <c r="A187" s="111" t="s">
        <v>315</v>
      </c>
      <c r="B187" s="118" t="s">
        <v>316</v>
      </c>
      <c r="C187" s="118" t="str">
        <f t="shared" si="1"/>
        <v>GN Guinea CCC: 0,768</v>
      </c>
      <c r="D187" s="119">
        <v>0.76800000000000002</v>
      </c>
      <c r="E187" s="111" t="s">
        <v>197</v>
      </c>
      <c r="F187" s="21"/>
      <c r="G187" s="254"/>
      <c r="H187" s="255"/>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row>
    <row r="188" spans="1:98" s="111" customFormat="1" outlineLevel="1" x14ac:dyDescent="0.3">
      <c r="A188" s="111" t="s">
        <v>317</v>
      </c>
      <c r="B188" s="118" t="s">
        <v>318</v>
      </c>
      <c r="C188" s="118" t="str">
        <f t="shared" si="1"/>
        <v>GW Guinea-Bissau CCC: 0,747</v>
      </c>
      <c r="D188" s="119">
        <v>0.747</v>
      </c>
      <c r="E188" s="111" t="s">
        <v>197</v>
      </c>
      <c r="F188" s="21"/>
      <c r="G188" s="254"/>
      <c r="H188" s="255"/>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row>
    <row r="189" spans="1:98" s="111" customFormat="1" outlineLevel="1" x14ac:dyDescent="0.3">
      <c r="A189" s="111" t="s">
        <v>319</v>
      </c>
      <c r="B189" s="118" t="s">
        <v>320</v>
      </c>
      <c r="C189" s="118" t="str">
        <f t="shared" si="1"/>
        <v>GY Guyana CCC: 0,654</v>
      </c>
      <c r="D189" s="119">
        <v>0.65400000000000003</v>
      </c>
      <c r="E189" s="111" t="s">
        <v>197</v>
      </c>
      <c r="F189" s="21"/>
      <c r="G189"/>
      <c r="H189" s="253"/>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row>
    <row r="190" spans="1:98" s="111" customFormat="1" outlineLevel="1" x14ac:dyDescent="0.3">
      <c r="A190" s="111" t="s">
        <v>321</v>
      </c>
      <c r="B190" s="118" t="s">
        <v>322</v>
      </c>
      <c r="C190" s="118" t="str">
        <f t="shared" si="1"/>
        <v>HT Haiti CCC: 0,776</v>
      </c>
      <c r="D190" s="119">
        <v>0.77600000000000002</v>
      </c>
      <c r="E190" s="111" t="s">
        <v>197</v>
      </c>
      <c r="F190" s="21"/>
      <c r="G190" s="254"/>
      <c r="H190" s="255"/>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row>
    <row r="191" spans="1:98" s="111" customFormat="1" outlineLevel="1" x14ac:dyDescent="0.3">
      <c r="A191" s="111" t="s">
        <v>323</v>
      </c>
      <c r="B191" s="118" t="s">
        <v>324</v>
      </c>
      <c r="C191" s="118" t="str">
        <f t="shared" ref="C191:C222" si="2">A191&amp;" "&amp;B191&amp;" "&amp;"CCC: "&amp;D191</f>
        <v>HN Honduras CCC: 0,706</v>
      </c>
      <c r="D191" s="119">
        <v>0.70599999999999996</v>
      </c>
      <c r="E191" s="111" t="s">
        <v>197</v>
      </c>
      <c r="F191" s="21"/>
      <c r="G191"/>
      <c r="H191" s="253"/>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row>
    <row r="192" spans="1:98" s="111" customFormat="1" outlineLevel="1" x14ac:dyDescent="0.3">
      <c r="A192" s="111" t="s">
        <v>325</v>
      </c>
      <c r="B192" s="118" t="s">
        <v>326</v>
      </c>
      <c r="C192" s="118" t="str">
        <f t="shared" si="2"/>
        <v>HK Hong Kong CCC: 1,053</v>
      </c>
      <c r="D192" s="119">
        <v>1.0529999999999999</v>
      </c>
      <c r="E192" s="111" t="s">
        <v>197</v>
      </c>
      <c r="F192" s="21"/>
      <c r="G192" s="254"/>
      <c r="H192" s="255"/>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row>
    <row r="193" spans="1:98" s="111" customFormat="1" outlineLevel="1" x14ac:dyDescent="0.3">
      <c r="A193" s="111" t="s">
        <v>327</v>
      </c>
      <c r="B193" s="118" t="s">
        <v>328</v>
      </c>
      <c r="C193" s="118" t="str">
        <f t="shared" si="2"/>
        <v>HU Hungary CCC: 0,657</v>
      </c>
      <c r="D193" s="119">
        <v>0.65700000000000003</v>
      </c>
      <c r="E193" s="111" t="s">
        <v>208</v>
      </c>
      <c r="F193" s="21"/>
      <c r="G193" s="254"/>
      <c r="H193" s="255"/>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row>
    <row r="194" spans="1:98" s="111" customFormat="1" outlineLevel="1" x14ac:dyDescent="0.3">
      <c r="A194" s="111" t="s">
        <v>329</v>
      </c>
      <c r="B194" s="118" t="s">
        <v>330</v>
      </c>
      <c r="C194" s="118" t="str">
        <f t="shared" si="2"/>
        <v>IS Iceland CCC: 1,191</v>
      </c>
      <c r="D194" s="119">
        <v>1.1910000000000001</v>
      </c>
      <c r="E194" s="111" t="s">
        <v>194</v>
      </c>
      <c r="F194" s="21"/>
      <c r="G194" s="254"/>
      <c r="H194" s="255"/>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row>
    <row r="195" spans="1:98" s="111" customFormat="1" outlineLevel="1" x14ac:dyDescent="0.3">
      <c r="A195" s="111" t="s">
        <v>331</v>
      </c>
      <c r="B195" s="118" t="s">
        <v>332</v>
      </c>
      <c r="C195" s="118" t="str">
        <f t="shared" si="2"/>
        <v>IN India CCC: 0,673</v>
      </c>
      <c r="D195" s="119">
        <v>0.67300000000000004</v>
      </c>
      <c r="E195" s="111" t="s">
        <v>197</v>
      </c>
      <c r="F195" s="21"/>
      <c r="G195"/>
      <c r="H195" s="253"/>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row>
    <row r="196" spans="1:98" s="111" customFormat="1" outlineLevel="1" x14ac:dyDescent="0.3">
      <c r="A196" s="111" t="s">
        <v>333</v>
      </c>
      <c r="B196" s="118" t="s">
        <v>334</v>
      </c>
      <c r="C196" s="118" t="str">
        <f t="shared" si="2"/>
        <v>ID Indonesia CCC: 0,666</v>
      </c>
      <c r="D196" s="119">
        <v>0.66600000000000004</v>
      </c>
      <c r="E196" s="111" t="s">
        <v>197</v>
      </c>
      <c r="F196" s="21"/>
      <c r="G196"/>
      <c r="H196" s="253"/>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row>
    <row r="197" spans="1:98" s="111" customFormat="1" outlineLevel="1" x14ac:dyDescent="0.3">
      <c r="A197" s="111" t="s">
        <v>335</v>
      </c>
      <c r="B197" s="118" t="s">
        <v>336</v>
      </c>
      <c r="C197" s="118" t="str">
        <f t="shared" si="2"/>
        <v>IE Ireland CCC: 1,09</v>
      </c>
      <c r="D197" s="119">
        <v>1.0900000000000001</v>
      </c>
      <c r="E197" s="111" t="s">
        <v>208</v>
      </c>
      <c r="F197" s="21"/>
      <c r="G197"/>
      <c r="H197" s="253"/>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row>
    <row r="198" spans="1:98" s="111" customFormat="1" outlineLevel="1" x14ac:dyDescent="0.3">
      <c r="A198" s="111" t="s">
        <v>337</v>
      </c>
      <c r="B198" s="118" t="s">
        <v>338</v>
      </c>
      <c r="C198" s="118" t="str">
        <f t="shared" si="2"/>
        <v>IL Israel CCC: 0,978</v>
      </c>
      <c r="D198" s="119">
        <v>0.97799999999999998</v>
      </c>
      <c r="E198" s="111" t="s">
        <v>194</v>
      </c>
      <c r="F198" s="21"/>
      <c r="G198" s="254"/>
      <c r="H198" s="255"/>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row>
    <row r="199" spans="1:98" s="111" customFormat="1" outlineLevel="1" x14ac:dyDescent="0.3">
      <c r="A199" s="111" t="s">
        <v>339</v>
      </c>
      <c r="B199" s="118" t="s">
        <v>340</v>
      </c>
      <c r="C199" s="118" t="str">
        <f t="shared" si="2"/>
        <v>IT Italy CCC: 0,889</v>
      </c>
      <c r="D199" s="119">
        <v>0.88900000000000001</v>
      </c>
      <c r="E199" s="111" t="s">
        <v>208</v>
      </c>
      <c r="F199" s="21"/>
      <c r="G199" s="254"/>
      <c r="H199" s="255"/>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row>
    <row r="200" spans="1:98" s="111" customFormat="1" outlineLevel="1" x14ac:dyDescent="0.3">
      <c r="A200" s="111" t="s">
        <v>341</v>
      </c>
      <c r="B200" s="118" t="s">
        <v>342</v>
      </c>
      <c r="C200" s="118" t="str">
        <f t="shared" si="2"/>
        <v>JM Jamaica CCC: 0,77</v>
      </c>
      <c r="D200" s="119">
        <v>0.77</v>
      </c>
      <c r="E200" s="111" t="s">
        <v>197</v>
      </c>
      <c r="F200" s="21"/>
      <c r="G200"/>
      <c r="H200" s="253"/>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row>
    <row r="201" spans="1:98" s="111" customFormat="1" outlineLevel="1" x14ac:dyDescent="0.3">
      <c r="A201" s="111" t="s">
        <v>343</v>
      </c>
      <c r="B201" s="118" t="s">
        <v>344</v>
      </c>
      <c r="C201" s="118" t="str">
        <f t="shared" si="2"/>
        <v>JP Japan CCC: 0,943</v>
      </c>
      <c r="D201" s="119">
        <v>0.94299999999999995</v>
      </c>
      <c r="E201" s="111" t="s">
        <v>197</v>
      </c>
      <c r="F201" s="21"/>
      <c r="G201"/>
      <c r="H201" s="253"/>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row>
    <row r="202" spans="1:98" s="111" customFormat="1" outlineLevel="1" x14ac:dyDescent="0.3">
      <c r="A202" s="111" t="s">
        <v>345</v>
      </c>
      <c r="B202" s="118" t="s">
        <v>346</v>
      </c>
      <c r="C202" s="118" t="str">
        <f t="shared" si="2"/>
        <v>JO Jordan CCC: 0,901</v>
      </c>
      <c r="D202" s="119">
        <v>0.90100000000000002</v>
      </c>
      <c r="E202" s="111" t="s">
        <v>197</v>
      </c>
      <c r="F202" s="21"/>
      <c r="G202" s="254"/>
      <c r="H202" s="255"/>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row>
    <row r="203" spans="1:98" s="111" customFormat="1" outlineLevel="1" x14ac:dyDescent="0.3">
      <c r="A203" s="111" t="s">
        <v>347</v>
      </c>
      <c r="B203" s="118" t="s">
        <v>348</v>
      </c>
      <c r="C203" s="118" t="str">
        <f t="shared" si="2"/>
        <v>KZ Kazakhstan CCC: 0,656</v>
      </c>
      <c r="D203" s="119">
        <v>0.65600000000000003</v>
      </c>
      <c r="E203" s="111" t="s">
        <v>197</v>
      </c>
      <c r="F203" s="21"/>
      <c r="G203"/>
      <c r="H203" s="253"/>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row>
    <row r="204" spans="1:98" s="111" customFormat="1" outlineLevel="1" x14ac:dyDescent="0.3">
      <c r="A204" s="111" t="s">
        <v>349</v>
      </c>
      <c r="B204" s="118" t="s">
        <v>350</v>
      </c>
      <c r="C204" s="118" t="str">
        <f t="shared" si="2"/>
        <v>KE Kenya CCC: 0,781</v>
      </c>
      <c r="D204" s="119">
        <v>0.78100000000000003</v>
      </c>
      <c r="E204" s="111" t="s">
        <v>197</v>
      </c>
      <c r="F204" s="21"/>
      <c r="G204" s="254"/>
      <c r="H204" s="255"/>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row>
    <row r="205" spans="1:98" s="111" customFormat="1" outlineLevel="1" x14ac:dyDescent="0.3">
      <c r="A205" s="111" t="s">
        <v>351</v>
      </c>
      <c r="B205" s="118" t="s">
        <v>352</v>
      </c>
      <c r="C205" s="118" t="str">
        <f t="shared" si="2"/>
        <v>KR Korea (the Republic of) CCC: 0,871</v>
      </c>
      <c r="D205" s="119">
        <v>0.871</v>
      </c>
      <c r="E205" s="111" t="s">
        <v>197</v>
      </c>
      <c r="F205" s="21"/>
      <c r="G205" s="254"/>
      <c r="H205" s="255"/>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row>
    <row r="206" spans="1:98" s="111" customFormat="1" outlineLevel="1" x14ac:dyDescent="0.3">
      <c r="A206" s="111" t="s">
        <v>353</v>
      </c>
      <c r="B206" s="118" t="s">
        <v>354</v>
      </c>
      <c r="C206" s="118" t="str">
        <f t="shared" si="2"/>
        <v>KG Kyrgyzstan CCC: 0,672</v>
      </c>
      <c r="D206" s="119">
        <v>0.67200000000000004</v>
      </c>
      <c r="E206" s="111" t="s">
        <v>197</v>
      </c>
      <c r="F206" s="21"/>
      <c r="G206"/>
      <c r="H206" s="253"/>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row>
    <row r="207" spans="1:98" s="111" customFormat="1" outlineLevel="1" x14ac:dyDescent="0.3">
      <c r="A207" s="111" t="s">
        <v>355</v>
      </c>
      <c r="B207" s="118" t="s">
        <v>356</v>
      </c>
      <c r="C207" s="118" t="str">
        <f t="shared" si="2"/>
        <v>LA Lao People's Democratic Republic (the) CCC: 0,819</v>
      </c>
      <c r="D207" s="119">
        <v>0.81899999999999995</v>
      </c>
      <c r="E207" s="111" t="s">
        <v>197</v>
      </c>
      <c r="F207" s="21"/>
      <c r="G207" s="254"/>
      <c r="H207" s="255"/>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row>
    <row r="208" spans="1:98" s="111" customFormat="1" outlineLevel="1" x14ac:dyDescent="0.3">
      <c r="A208" s="111" t="s">
        <v>357</v>
      </c>
      <c r="B208" s="118" t="s">
        <v>358</v>
      </c>
      <c r="C208" s="118" t="str">
        <f t="shared" si="2"/>
        <v>LV Latvia CCC: 0,693</v>
      </c>
      <c r="D208" s="119">
        <v>0.69299999999999995</v>
      </c>
      <c r="E208" s="111" t="s">
        <v>208</v>
      </c>
      <c r="F208" s="21"/>
      <c r="G208"/>
      <c r="H208" s="253"/>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row>
    <row r="209" spans="1:98" s="111" customFormat="1" outlineLevel="1" x14ac:dyDescent="0.3">
      <c r="A209" s="111" t="s">
        <v>359</v>
      </c>
      <c r="B209" s="118" t="s">
        <v>360</v>
      </c>
      <c r="C209" s="118" t="str">
        <f t="shared" si="2"/>
        <v>LB Lebanon CCC: 1,06</v>
      </c>
      <c r="D209" s="119">
        <v>1.06</v>
      </c>
      <c r="E209" s="111" t="s">
        <v>197</v>
      </c>
      <c r="F209" s="21"/>
      <c r="G209"/>
      <c r="H209" s="253"/>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row>
    <row r="210" spans="1:98" s="111" customFormat="1" outlineLevel="1" x14ac:dyDescent="0.3">
      <c r="A210" s="111" t="s">
        <v>361</v>
      </c>
      <c r="B210" s="118" t="s">
        <v>362</v>
      </c>
      <c r="C210" s="118" t="str">
        <f t="shared" si="2"/>
        <v>LS Lesotho CCC: 0,513</v>
      </c>
      <c r="D210" s="119">
        <v>0.51300000000000001</v>
      </c>
      <c r="E210" s="111" t="s">
        <v>197</v>
      </c>
      <c r="F210" s="21"/>
      <c r="G210"/>
      <c r="H210" s="253"/>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row>
    <row r="211" spans="1:98" s="111" customFormat="1" outlineLevel="1" x14ac:dyDescent="0.3">
      <c r="A211" s="111" t="s">
        <v>363</v>
      </c>
      <c r="B211" s="118" t="s">
        <v>364</v>
      </c>
      <c r="C211" s="118" t="str">
        <f t="shared" si="2"/>
        <v>LR Liberia CCC: 1,365</v>
      </c>
      <c r="D211" s="119">
        <v>1.365</v>
      </c>
      <c r="E211" s="111" t="s">
        <v>197</v>
      </c>
      <c r="F211" s="21"/>
      <c r="G211" s="254"/>
      <c r="H211" s="255"/>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row>
    <row r="212" spans="1:98" s="111" customFormat="1" outlineLevel="1" x14ac:dyDescent="0.3">
      <c r="A212" s="111" t="s">
        <v>365</v>
      </c>
      <c r="B212" s="118" t="s">
        <v>366</v>
      </c>
      <c r="C212" s="118" t="str">
        <f t="shared" si="2"/>
        <v xml:space="preserve">LY Libya CCC: </v>
      </c>
      <c r="D212" s="119"/>
      <c r="E212" s="111" t="s">
        <v>197</v>
      </c>
      <c r="F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row>
    <row r="213" spans="1:98" s="111" customFormat="1" outlineLevel="1" x14ac:dyDescent="0.3">
      <c r="A213" s="111" t="s">
        <v>367</v>
      </c>
      <c r="B213" s="118" t="s">
        <v>368</v>
      </c>
      <c r="C213" s="118" t="str">
        <f t="shared" si="2"/>
        <v>LI Liechtenstein CCC: 1,173</v>
      </c>
      <c r="D213" s="119">
        <v>1.173</v>
      </c>
      <c r="E213" s="111" t="s">
        <v>197</v>
      </c>
      <c r="F213" s="21"/>
      <c r="G213" s="254"/>
      <c r="H213" s="255"/>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row>
    <row r="214" spans="1:98" s="111" customFormat="1" outlineLevel="1" x14ac:dyDescent="0.3">
      <c r="A214" s="111" t="s">
        <v>369</v>
      </c>
      <c r="B214" s="118" t="s">
        <v>370</v>
      </c>
      <c r="C214" s="118" t="str">
        <f t="shared" si="2"/>
        <v>LT Lithuania CCC: 0,664</v>
      </c>
      <c r="D214" s="119">
        <v>0.66400000000000003</v>
      </c>
      <c r="E214" s="111" t="s">
        <v>208</v>
      </c>
      <c r="F214" s="21"/>
      <c r="G214"/>
      <c r="H214" s="253"/>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row>
    <row r="215" spans="1:98" s="111" customFormat="1" outlineLevel="1" x14ac:dyDescent="0.3">
      <c r="A215" s="111" t="s">
        <v>371</v>
      </c>
      <c r="B215" s="118" t="s">
        <v>372</v>
      </c>
      <c r="C215" s="118" t="str">
        <f t="shared" si="2"/>
        <v>LU Luxembourg CCC: 0,912</v>
      </c>
      <c r="D215" s="119">
        <v>0.91200000000000003</v>
      </c>
      <c r="E215" s="111" t="s">
        <v>208</v>
      </c>
      <c r="F215" s="21"/>
      <c r="G215" s="254"/>
      <c r="H215" s="255"/>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row>
    <row r="216" spans="1:98" s="111" customFormat="1" outlineLevel="1" x14ac:dyDescent="0.3">
      <c r="A216" s="111" t="s">
        <v>373</v>
      </c>
      <c r="B216" s="118" t="s">
        <v>374</v>
      </c>
      <c r="C216" s="118" t="str">
        <f t="shared" si="2"/>
        <v>MG Madagascar CCC: 0,781</v>
      </c>
      <c r="D216" s="119">
        <v>0.78100000000000003</v>
      </c>
      <c r="E216" s="111" t="s">
        <v>197</v>
      </c>
      <c r="F216" s="21"/>
      <c r="G216"/>
      <c r="H216" s="253"/>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row>
    <row r="217" spans="1:98" s="111" customFormat="1" outlineLevel="1" x14ac:dyDescent="0.3">
      <c r="A217" s="111" t="s">
        <v>375</v>
      </c>
      <c r="B217" s="118" t="s">
        <v>376</v>
      </c>
      <c r="C217" s="118" t="str">
        <f t="shared" si="2"/>
        <v>MW Malawi CCC: 0,556</v>
      </c>
      <c r="D217" s="119">
        <v>0.55600000000000005</v>
      </c>
      <c r="E217" s="111" t="s">
        <v>197</v>
      </c>
      <c r="F217" s="21"/>
      <c r="G217"/>
      <c r="H217" s="253"/>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row>
    <row r="218" spans="1:98" s="111" customFormat="1" outlineLevel="1" x14ac:dyDescent="0.3">
      <c r="A218" s="111" t="s">
        <v>377</v>
      </c>
      <c r="B218" s="118" t="s">
        <v>378</v>
      </c>
      <c r="C218" s="118" t="str">
        <f t="shared" si="2"/>
        <v>MY Malaysia CCC: 0,613</v>
      </c>
      <c r="D218" s="119">
        <v>0.61299999999999999</v>
      </c>
      <c r="E218" s="111" t="s">
        <v>197</v>
      </c>
      <c r="F218" s="21"/>
      <c r="G218"/>
      <c r="H218" s="253"/>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row>
    <row r="219" spans="1:98" s="111" customFormat="1" outlineLevel="1" x14ac:dyDescent="0.3">
      <c r="A219" s="111" t="s">
        <v>379</v>
      </c>
      <c r="B219" s="118" t="s">
        <v>380</v>
      </c>
      <c r="C219" s="118" t="str">
        <f t="shared" si="2"/>
        <v>ML Mali CCC: 0,821</v>
      </c>
      <c r="D219" s="119">
        <v>0.82099999999999995</v>
      </c>
      <c r="E219" s="111" t="s">
        <v>197</v>
      </c>
      <c r="F219" s="21"/>
      <c r="G219"/>
      <c r="H219" s="253"/>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row>
    <row r="220" spans="1:98" s="111" customFormat="1" outlineLevel="1" x14ac:dyDescent="0.3">
      <c r="A220" s="111" t="s">
        <v>381</v>
      </c>
      <c r="B220" s="118" t="s">
        <v>382</v>
      </c>
      <c r="C220" s="118" t="str">
        <f t="shared" si="2"/>
        <v>MT Malta CCC: 0,804</v>
      </c>
      <c r="D220" s="119">
        <v>0.80400000000000005</v>
      </c>
      <c r="E220" s="111" t="s">
        <v>208</v>
      </c>
      <c r="F220" s="21"/>
      <c r="G220" s="254"/>
      <c r="H220" s="255"/>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row>
    <row r="221" spans="1:98" s="111" customFormat="1" outlineLevel="1" x14ac:dyDescent="0.3">
      <c r="A221" s="111" t="s">
        <v>383</v>
      </c>
      <c r="B221" s="118" t="s">
        <v>384</v>
      </c>
      <c r="C221" s="118" t="str">
        <f t="shared" si="2"/>
        <v>MR Mauritania CCC: 0,621</v>
      </c>
      <c r="D221" s="119">
        <v>0.621</v>
      </c>
      <c r="E221" s="111" t="s">
        <v>197</v>
      </c>
      <c r="F221" s="21"/>
      <c r="G221"/>
      <c r="H221" s="253"/>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row>
    <row r="222" spans="1:98" s="111" customFormat="1" outlineLevel="1" x14ac:dyDescent="0.3">
      <c r="A222" s="111" t="s">
        <v>385</v>
      </c>
      <c r="B222" s="118" t="s">
        <v>386</v>
      </c>
      <c r="C222" s="118" t="str">
        <f t="shared" si="2"/>
        <v>MU Mauritius CCC: 0,669</v>
      </c>
      <c r="D222" s="119">
        <v>0.66900000000000004</v>
      </c>
      <c r="E222" s="111" t="s">
        <v>197</v>
      </c>
      <c r="F222" s="21"/>
      <c r="G222" s="254"/>
      <c r="H222" s="255"/>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row>
    <row r="223" spans="1:98" s="111" customFormat="1" outlineLevel="1" x14ac:dyDescent="0.3">
      <c r="A223" s="111" t="s">
        <v>387</v>
      </c>
      <c r="B223" s="118" t="s">
        <v>388</v>
      </c>
      <c r="C223" s="118" t="str">
        <f t="shared" ref="C223:C254" si="3">A223&amp;" "&amp;B223&amp;" "&amp;"CCC: "&amp;D223</f>
        <v>MX Mexico CCC: 0,55</v>
      </c>
      <c r="D223" s="119">
        <v>0.55000000000000004</v>
      </c>
      <c r="E223" s="111" t="s">
        <v>197</v>
      </c>
      <c r="F223" s="21"/>
      <c r="G223" s="254"/>
      <c r="H223" s="255"/>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row>
    <row r="224" spans="1:98" s="111" customFormat="1" outlineLevel="1" x14ac:dyDescent="0.3">
      <c r="A224" s="111" t="s">
        <v>389</v>
      </c>
      <c r="B224" s="118" t="s">
        <v>390</v>
      </c>
      <c r="C224" s="118" t="str">
        <f t="shared" si="3"/>
        <v>MD Moldova (the Republic of) CCC: 0,577</v>
      </c>
      <c r="D224" s="119">
        <v>0.57699999999999996</v>
      </c>
      <c r="E224" s="111" t="s">
        <v>194</v>
      </c>
      <c r="F224" s="21"/>
      <c r="G224"/>
      <c r="H224" s="253"/>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row>
    <row r="225" spans="1:98" s="111" customFormat="1" outlineLevel="1" x14ac:dyDescent="0.3">
      <c r="A225" s="111" t="s">
        <v>391</v>
      </c>
      <c r="B225" s="118" t="s">
        <v>392</v>
      </c>
      <c r="C225" s="118" t="str">
        <f t="shared" si="3"/>
        <v>ME Montenegro CCC: 0,562</v>
      </c>
      <c r="D225" s="119">
        <v>0.56200000000000006</v>
      </c>
      <c r="E225" s="111" t="s">
        <v>194</v>
      </c>
      <c r="F225" s="21"/>
      <c r="G225" s="254"/>
      <c r="H225" s="255"/>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row>
    <row r="226" spans="1:98" s="111" customFormat="1" outlineLevel="1" x14ac:dyDescent="0.3">
      <c r="A226" s="111" t="s">
        <v>393</v>
      </c>
      <c r="B226" s="118" t="s">
        <v>394</v>
      </c>
      <c r="C226" s="118" t="str">
        <f t="shared" si="3"/>
        <v>MA Morocco CCC: 0,662</v>
      </c>
      <c r="D226" s="119">
        <v>0.66200000000000003</v>
      </c>
      <c r="E226" s="111" t="s">
        <v>197</v>
      </c>
      <c r="F226" s="21"/>
      <c r="G226" s="254"/>
      <c r="H226" s="255"/>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row>
    <row r="227" spans="1:98" s="111" customFormat="1" outlineLevel="1" x14ac:dyDescent="0.3">
      <c r="A227" s="111" t="s">
        <v>395</v>
      </c>
      <c r="B227" s="118" t="s">
        <v>396</v>
      </c>
      <c r="C227" s="118" t="str">
        <f t="shared" si="3"/>
        <v>MZ Mozambique CCC: 0,654</v>
      </c>
      <c r="D227" s="119">
        <v>0.65400000000000003</v>
      </c>
      <c r="E227" s="111" t="s">
        <v>197</v>
      </c>
      <c r="F227" s="21"/>
      <c r="G227" s="254"/>
      <c r="H227" s="255"/>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row>
    <row r="228" spans="1:98" s="111" customFormat="1" outlineLevel="1" x14ac:dyDescent="0.3">
      <c r="A228" s="111" t="s">
        <v>397</v>
      </c>
      <c r="B228" s="118" t="s">
        <v>398</v>
      </c>
      <c r="C228" s="118" t="str">
        <f t="shared" si="3"/>
        <v>MM Myanmar CCC: 0,611</v>
      </c>
      <c r="D228" s="119">
        <v>0.61099999999999999</v>
      </c>
      <c r="E228" s="111" t="s">
        <v>197</v>
      </c>
      <c r="F228" s="21"/>
      <c r="G228" s="254"/>
      <c r="H228" s="255"/>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row>
    <row r="229" spans="1:98" s="111" customFormat="1" outlineLevel="1" x14ac:dyDescent="0.3">
      <c r="A229" s="111" t="s">
        <v>399</v>
      </c>
      <c r="B229" s="118" t="s">
        <v>400</v>
      </c>
      <c r="C229" s="118" t="str">
        <f t="shared" si="3"/>
        <v>NA Namibia CCC: 0,61</v>
      </c>
      <c r="D229" s="119">
        <v>0.61</v>
      </c>
      <c r="E229" s="111" t="s">
        <v>197</v>
      </c>
      <c r="F229" s="21"/>
      <c r="G229"/>
      <c r="H229" s="253"/>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row>
    <row r="230" spans="1:98" s="111" customFormat="1" outlineLevel="1" x14ac:dyDescent="0.3">
      <c r="A230" s="111" t="s">
        <v>401</v>
      </c>
      <c r="B230" s="118" t="s">
        <v>402</v>
      </c>
      <c r="C230" s="118" t="str">
        <f t="shared" si="3"/>
        <v>NP Nepal CCC: 0,801</v>
      </c>
      <c r="D230" s="119">
        <v>0.80100000000000005</v>
      </c>
      <c r="E230" s="111" t="s">
        <v>197</v>
      </c>
      <c r="F230" s="21"/>
      <c r="G230"/>
      <c r="H230" s="253"/>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row>
    <row r="231" spans="1:98" s="111" customFormat="1" outlineLevel="1" x14ac:dyDescent="0.3">
      <c r="A231" s="111" t="s">
        <v>403</v>
      </c>
      <c r="B231" s="118" t="s">
        <v>404</v>
      </c>
      <c r="C231" s="118" t="str">
        <f t="shared" si="3"/>
        <v>NL Netherlands (the) CCC: 1</v>
      </c>
      <c r="D231" s="119">
        <v>1</v>
      </c>
      <c r="E231" s="111" t="s">
        <v>208</v>
      </c>
      <c r="F231" s="21"/>
      <c r="G231"/>
      <c r="H231" s="253"/>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row>
    <row r="232" spans="1:98" s="111" customFormat="1" outlineLevel="1" x14ac:dyDescent="0.3">
      <c r="A232" s="111" t="s">
        <v>405</v>
      </c>
      <c r="B232" s="118" t="s">
        <v>406</v>
      </c>
      <c r="C232" s="118" t="str">
        <f t="shared" si="3"/>
        <v>NC New Caledonia CCC: 0,98</v>
      </c>
      <c r="D232" s="119">
        <v>0.98</v>
      </c>
      <c r="E232" s="111" t="s">
        <v>197</v>
      </c>
      <c r="F232" s="21"/>
      <c r="G232" s="254"/>
      <c r="H232" s="255"/>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row>
    <row r="233" spans="1:98" s="111" customFormat="1" outlineLevel="1" x14ac:dyDescent="0.3">
      <c r="A233" s="111" t="s">
        <v>407</v>
      </c>
      <c r="B233" s="118" t="s">
        <v>408</v>
      </c>
      <c r="C233" s="118" t="str">
        <f t="shared" si="3"/>
        <v>NZ New Zealand CCC: 0,902</v>
      </c>
      <c r="D233" s="119">
        <v>0.90200000000000002</v>
      </c>
      <c r="E233" s="111" t="s">
        <v>197</v>
      </c>
      <c r="F233" s="21"/>
      <c r="G233" s="254"/>
      <c r="H233" s="255"/>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row>
    <row r="234" spans="1:98" s="111" customFormat="1" outlineLevel="1" x14ac:dyDescent="0.3">
      <c r="A234" s="111" t="s">
        <v>409</v>
      </c>
      <c r="B234" s="118" t="s">
        <v>410</v>
      </c>
      <c r="C234" s="118" t="str">
        <f t="shared" si="3"/>
        <v>NI Nicaragua CCC: 0,614</v>
      </c>
      <c r="D234" s="119">
        <v>0.61399999999999999</v>
      </c>
      <c r="E234" s="111" t="s">
        <v>197</v>
      </c>
      <c r="F234" s="21"/>
      <c r="G234"/>
      <c r="H234" s="253"/>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row>
    <row r="235" spans="1:98" s="111" customFormat="1" outlineLevel="1" x14ac:dyDescent="0.3">
      <c r="A235" s="111" t="s">
        <v>411</v>
      </c>
      <c r="B235" s="118" t="s">
        <v>412</v>
      </c>
      <c r="C235" s="118" t="str">
        <f t="shared" si="3"/>
        <v>NE Niger (the) CCC: 0,73</v>
      </c>
      <c r="D235" s="119">
        <v>0.73</v>
      </c>
      <c r="E235" s="111" t="s">
        <v>197</v>
      </c>
      <c r="F235" s="21"/>
      <c r="G235"/>
      <c r="H235" s="253"/>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row>
    <row r="236" spans="1:98" s="111" customFormat="1" outlineLevel="1" x14ac:dyDescent="0.3">
      <c r="A236" s="111" t="s">
        <v>413</v>
      </c>
      <c r="B236" s="118" t="s">
        <v>414</v>
      </c>
      <c r="C236" s="118" t="str">
        <f t="shared" si="3"/>
        <v>NG Nigeria CCC: 0,777</v>
      </c>
      <c r="D236" s="119">
        <v>0.77700000000000002</v>
      </c>
      <c r="E236" s="111" t="s">
        <v>197</v>
      </c>
      <c r="F236" s="21"/>
      <c r="G236" s="254"/>
      <c r="H236" s="255"/>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row>
    <row r="237" spans="1:98" s="111" customFormat="1" outlineLevel="1" x14ac:dyDescent="0.3">
      <c r="A237" s="111" t="s">
        <v>415</v>
      </c>
      <c r="B237" s="118" t="s">
        <v>416</v>
      </c>
      <c r="C237" s="118" t="str">
        <f t="shared" si="3"/>
        <v>MK North Macedonia CCC: 0,463</v>
      </c>
      <c r="D237" s="119">
        <v>0.46300000000000002</v>
      </c>
      <c r="E237" s="111" t="s">
        <v>194</v>
      </c>
      <c r="F237" s="21"/>
      <c r="G237" s="254"/>
      <c r="H237" s="255"/>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row>
    <row r="238" spans="1:98" s="111" customFormat="1" outlineLevel="1" x14ac:dyDescent="0.3">
      <c r="A238" s="111" t="s">
        <v>417</v>
      </c>
      <c r="B238" s="118" t="s">
        <v>418</v>
      </c>
      <c r="C238" s="118" t="str">
        <f t="shared" si="3"/>
        <v>NO Norway CCC: 1,174</v>
      </c>
      <c r="D238" s="119">
        <v>1.1739999999999999</v>
      </c>
      <c r="E238" s="111" t="s">
        <v>194</v>
      </c>
      <c r="F238" s="21"/>
      <c r="G238" s="254"/>
      <c r="H238" s="255"/>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row>
    <row r="239" spans="1:98" s="111" customFormat="1" outlineLevel="1" x14ac:dyDescent="0.3">
      <c r="A239" s="111" t="s">
        <v>419</v>
      </c>
      <c r="B239" s="118" t="s">
        <v>420</v>
      </c>
      <c r="C239" s="118" t="str">
        <f t="shared" si="3"/>
        <v>PK Pakistan CCC: 0,5</v>
      </c>
      <c r="D239" s="119">
        <v>0.5</v>
      </c>
      <c r="E239" s="111" t="s">
        <v>197</v>
      </c>
      <c r="F239" s="21"/>
      <c r="G239"/>
      <c r="H239" s="253"/>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row>
    <row r="240" spans="1:98" s="111" customFormat="1" outlineLevel="1" x14ac:dyDescent="0.3">
      <c r="A240" s="111" t="s">
        <v>421</v>
      </c>
      <c r="B240" s="118" t="s">
        <v>420</v>
      </c>
      <c r="C240" s="118" t="str">
        <f t="shared" si="3"/>
        <v>PS Pakistan CCC: 1,026</v>
      </c>
      <c r="D240" s="119">
        <v>1.026</v>
      </c>
      <c r="E240" s="111" t="s">
        <v>197</v>
      </c>
      <c r="F240" s="21"/>
      <c r="G240" s="254"/>
      <c r="H240" s="255"/>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row>
    <row r="241" spans="1:98" s="111" customFormat="1" outlineLevel="1" x14ac:dyDescent="0.3">
      <c r="A241" s="111" t="s">
        <v>422</v>
      </c>
      <c r="B241" s="118" t="s">
        <v>423</v>
      </c>
      <c r="C241" s="118" t="str">
        <f t="shared" si="3"/>
        <v>PA Panama CCC: 0,701</v>
      </c>
      <c r="D241" s="119">
        <v>0.70099999999999996</v>
      </c>
      <c r="E241" s="111" t="s">
        <v>197</v>
      </c>
      <c r="F241" s="21"/>
      <c r="G241"/>
      <c r="H241" s="253"/>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row>
    <row r="242" spans="1:98" s="111" customFormat="1" outlineLevel="1" x14ac:dyDescent="0.3">
      <c r="A242" s="111" t="s">
        <v>424</v>
      </c>
      <c r="B242" s="118" t="s">
        <v>425</v>
      </c>
      <c r="C242" s="118" t="str">
        <f t="shared" si="3"/>
        <v>PG Papua New Guinea CCC: 0,911</v>
      </c>
      <c r="D242" s="119">
        <v>0.91100000000000003</v>
      </c>
      <c r="E242" s="111" t="s">
        <v>197</v>
      </c>
      <c r="F242" s="21"/>
      <c r="G242"/>
      <c r="H242" s="253"/>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row>
    <row r="243" spans="1:98" s="111" customFormat="1" outlineLevel="1" x14ac:dyDescent="0.3">
      <c r="A243" s="111" t="s">
        <v>426</v>
      </c>
      <c r="B243" s="118" t="s">
        <v>427</v>
      </c>
      <c r="C243" s="118" t="str">
        <f t="shared" si="3"/>
        <v>PY Paraguay CCC: 0,575</v>
      </c>
      <c r="D243" s="119">
        <v>0.57499999999999996</v>
      </c>
      <c r="E243" s="111" t="s">
        <v>197</v>
      </c>
      <c r="F243" s="21"/>
      <c r="G243"/>
      <c r="H243" s="253"/>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row>
    <row r="244" spans="1:98" s="111" customFormat="1" outlineLevel="1" x14ac:dyDescent="0.3">
      <c r="A244" s="111" t="s">
        <v>428</v>
      </c>
      <c r="B244" s="118" t="s">
        <v>429</v>
      </c>
      <c r="C244" s="118" t="str">
        <f t="shared" si="3"/>
        <v>PE Peru CCC: 0,803</v>
      </c>
      <c r="D244" s="119">
        <v>0.80300000000000005</v>
      </c>
      <c r="E244" s="111" t="s">
        <v>197</v>
      </c>
      <c r="F244" s="21"/>
      <c r="G244" s="254"/>
      <c r="H244" s="255"/>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row>
    <row r="245" spans="1:98" s="111" customFormat="1" outlineLevel="1" x14ac:dyDescent="0.3">
      <c r="A245" s="111" t="s">
        <v>430</v>
      </c>
      <c r="B245" s="118" t="s">
        <v>431</v>
      </c>
      <c r="C245" s="118" t="str">
        <f t="shared" si="3"/>
        <v>PH Philippines (the) CCC: 0,742</v>
      </c>
      <c r="D245" s="119">
        <v>0.74199999999999999</v>
      </c>
      <c r="E245" s="111" t="s">
        <v>197</v>
      </c>
      <c r="F245" s="21"/>
      <c r="G245" s="254"/>
      <c r="H245" s="255"/>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row>
    <row r="246" spans="1:98" s="111" customFormat="1" outlineLevel="1" x14ac:dyDescent="0.3">
      <c r="A246" s="111" t="s">
        <v>432</v>
      </c>
      <c r="B246" s="118" t="s">
        <v>433</v>
      </c>
      <c r="C246" s="118" t="str">
        <f t="shared" si="3"/>
        <v>PL Poland CCC: 0,643</v>
      </c>
      <c r="D246" s="119">
        <v>0.64300000000000002</v>
      </c>
      <c r="E246" s="111" t="s">
        <v>208</v>
      </c>
      <c r="F246" s="21"/>
      <c r="G246" s="254"/>
      <c r="H246" s="255"/>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row>
    <row r="247" spans="1:98" s="111" customFormat="1" outlineLevel="1" x14ac:dyDescent="0.3">
      <c r="A247" s="111" t="s">
        <v>434</v>
      </c>
      <c r="B247" s="118" t="s">
        <v>435</v>
      </c>
      <c r="C247" s="118" t="str">
        <f t="shared" si="3"/>
        <v>PT Portugal CCC: 0,769</v>
      </c>
      <c r="D247" s="119">
        <v>0.76900000000000002</v>
      </c>
      <c r="E247" s="111" t="s">
        <v>208</v>
      </c>
      <c r="F247" s="21"/>
      <c r="G247"/>
      <c r="H247" s="253"/>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row>
    <row r="248" spans="1:98" s="111" customFormat="1" outlineLevel="1" x14ac:dyDescent="0.3">
      <c r="A248" s="111" t="s">
        <v>436</v>
      </c>
      <c r="B248" s="118" t="s">
        <v>437</v>
      </c>
      <c r="C248" s="118" t="str">
        <f t="shared" si="3"/>
        <v>RO Romania CCC: 0,597</v>
      </c>
      <c r="D248" s="119">
        <v>0.59699999999999998</v>
      </c>
      <c r="E248" s="111" t="s">
        <v>208</v>
      </c>
      <c r="F248" s="21"/>
      <c r="G248" s="254"/>
      <c r="H248" s="255"/>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row>
    <row r="249" spans="1:98" s="111" customFormat="1" outlineLevel="1" x14ac:dyDescent="0.3">
      <c r="A249" s="111" t="s">
        <v>438</v>
      </c>
      <c r="B249" s="118" t="s">
        <v>439</v>
      </c>
      <c r="C249" s="118" t="str">
        <f t="shared" si="3"/>
        <v>RU Russian Federation (the) CCC: 0,888</v>
      </c>
      <c r="D249" s="119">
        <v>0.88800000000000001</v>
      </c>
      <c r="E249" s="111" t="s">
        <v>197</v>
      </c>
      <c r="F249" s="21"/>
      <c r="G249"/>
      <c r="H249" s="253"/>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row>
    <row r="250" spans="1:98" s="111" customFormat="1" outlineLevel="1" x14ac:dyDescent="0.3">
      <c r="A250" s="111" t="s">
        <v>440</v>
      </c>
      <c r="B250" s="118" t="s">
        <v>441</v>
      </c>
      <c r="C250" s="118" t="str">
        <f t="shared" si="3"/>
        <v>RW Rwanda CCC: 0,745</v>
      </c>
      <c r="D250" s="119">
        <v>0.745</v>
      </c>
      <c r="E250" s="111" t="s">
        <v>197</v>
      </c>
      <c r="F250" s="21"/>
      <c r="G250" s="254"/>
      <c r="H250" s="255"/>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row>
    <row r="251" spans="1:98" s="111" customFormat="1" outlineLevel="1" x14ac:dyDescent="0.3">
      <c r="A251" s="111" t="s">
        <v>442</v>
      </c>
      <c r="B251" s="118" t="s">
        <v>443</v>
      </c>
      <c r="C251" s="118" t="str">
        <f t="shared" si="3"/>
        <v>WS Samoa CCC: 0,75</v>
      </c>
      <c r="D251" s="119">
        <v>0.75</v>
      </c>
      <c r="E251" s="111" t="s">
        <v>197</v>
      </c>
      <c r="F251" s="21"/>
      <c r="G251" s="254"/>
      <c r="H251" s="255"/>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row>
    <row r="252" spans="1:98" s="111" customFormat="1" outlineLevel="1" x14ac:dyDescent="0.3">
      <c r="A252" s="111" t="s">
        <v>444</v>
      </c>
      <c r="B252" s="118" t="s">
        <v>445</v>
      </c>
      <c r="C252" s="118" t="str">
        <f t="shared" si="3"/>
        <v>SA Saudi Arabia CCC: 0,761</v>
      </c>
      <c r="D252" s="119">
        <v>0.76100000000000001</v>
      </c>
      <c r="E252" s="111" t="s">
        <v>197</v>
      </c>
      <c r="F252" s="21"/>
      <c r="G252"/>
      <c r="H252" s="253"/>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row>
    <row r="253" spans="1:98" s="111" customFormat="1" outlineLevel="1" x14ac:dyDescent="0.3">
      <c r="A253" s="111" t="s">
        <v>446</v>
      </c>
      <c r="B253" s="118" t="s">
        <v>447</v>
      </c>
      <c r="C253" s="118" t="str">
        <f t="shared" si="3"/>
        <v>SN Senegal CCC: 0,898</v>
      </c>
      <c r="D253" s="119">
        <v>0.89800000000000002</v>
      </c>
      <c r="E253" s="111" t="s">
        <v>197</v>
      </c>
      <c r="F253" s="21"/>
      <c r="G253" s="254"/>
      <c r="H253" s="255"/>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row>
    <row r="254" spans="1:98" s="111" customFormat="1" outlineLevel="1" x14ac:dyDescent="0.3">
      <c r="A254" s="111" t="s">
        <v>448</v>
      </c>
      <c r="B254" s="118" t="s">
        <v>449</v>
      </c>
      <c r="C254" s="118" t="str">
        <f t="shared" si="3"/>
        <v>RS Serbia CCC: 0,526</v>
      </c>
      <c r="D254" s="119">
        <v>0.52600000000000002</v>
      </c>
      <c r="E254" s="111" t="s">
        <v>194</v>
      </c>
      <c r="F254" s="21"/>
      <c r="G254" s="254"/>
      <c r="H254" s="255"/>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row>
    <row r="255" spans="1:98" s="111" customFormat="1" outlineLevel="1" x14ac:dyDescent="0.3">
      <c r="A255" s="111" t="s">
        <v>450</v>
      </c>
      <c r="B255" s="118" t="s">
        <v>451</v>
      </c>
      <c r="C255" s="118" t="str">
        <f t="shared" ref="C255:C286" si="4">A255&amp;" "&amp;B255&amp;" "&amp;"CCC: "&amp;D255</f>
        <v>SL Sierra Leone CCC: 0,977</v>
      </c>
      <c r="D255" s="119">
        <v>0.97699999999999998</v>
      </c>
      <c r="E255" s="111" t="s">
        <v>197</v>
      </c>
      <c r="F255" s="21"/>
      <c r="G255"/>
      <c r="H255" s="253"/>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row>
    <row r="256" spans="1:98" s="111" customFormat="1" outlineLevel="1" x14ac:dyDescent="0.3">
      <c r="A256" s="111" t="s">
        <v>452</v>
      </c>
      <c r="B256" s="118" t="s">
        <v>453</v>
      </c>
      <c r="C256" s="118" t="str">
        <f t="shared" si="4"/>
        <v>SG Singapore CCC: 1,135</v>
      </c>
      <c r="D256" s="119">
        <v>1.135</v>
      </c>
      <c r="E256" s="111" t="s">
        <v>197</v>
      </c>
      <c r="F256" s="21"/>
      <c r="G256" s="254"/>
      <c r="H256" s="255"/>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row>
    <row r="257" spans="1:98" s="111" customFormat="1" outlineLevel="1" x14ac:dyDescent="0.3">
      <c r="A257" s="111" t="s">
        <v>454</v>
      </c>
      <c r="B257" s="118" t="s">
        <v>455</v>
      </c>
      <c r="C257" s="118" t="str">
        <f t="shared" si="4"/>
        <v>SK Slovakia CCC: 0,713</v>
      </c>
      <c r="D257" s="119">
        <v>0.71299999999999997</v>
      </c>
      <c r="E257" s="111" t="s">
        <v>208</v>
      </c>
      <c r="F257" s="21"/>
      <c r="G257"/>
      <c r="H257" s="253"/>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row>
    <row r="258" spans="1:98" s="111" customFormat="1" outlineLevel="1" x14ac:dyDescent="0.3">
      <c r="A258" s="111" t="s">
        <v>456</v>
      </c>
      <c r="B258" s="118" t="s">
        <v>457</v>
      </c>
      <c r="C258" s="118" t="str">
        <f t="shared" si="4"/>
        <v>SI Slovenia CCC: 0,76</v>
      </c>
      <c r="D258" s="119">
        <v>0.76</v>
      </c>
      <c r="E258" s="111" t="s">
        <v>208</v>
      </c>
      <c r="F258" s="21"/>
      <c r="G258" s="254"/>
      <c r="H258" s="255"/>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row>
    <row r="259" spans="1:98" s="111" customFormat="1" outlineLevel="1" x14ac:dyDescent="0.3">
      <c r="A259" s="111" t="s">
        <v>458</v>
      </c>
      <c r="B259" s="118" t="s">
        <v>459</v>
      </c>
      <c r="C259" s="118" t="str">
        <f t="shared" si="4"/>
        <v>SB Solomon Islands CCC: 1,028</v>
      </c>
      <c r="D259" s="119">
        <v>1.028</v>
      </c>
      <c r="E259" s="111" t="s">
        <v>197</v>
      </c>
      <c r="F259" s="21"/>
      <c r="G259" s="254"/>
      <c r="H259" s="255"/>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row>
    <row r="260" spans="1:98" s="111" customFormat="1" outlineLevel="1" x14ac:dyDescent="0.3">
      <c r="A260" s="111" t="s">
        <v>460</v>
      </c>
      <c r="B260" s="118" t="s">
        <v>461</v>
      </c>
      <c r="C260" s="118" t="str">
        <f t="shared" si="4"/>
        <v>ZA South Africa CCC: 0,505</v>
      </c>
      <c r="D260" s="119">
        <v>0.505</v>
      </c>
      <c r="E260" s="111" t="s">
        <v>197</v>
      </c>
      <c r="F260" s="21"/>
      <c r="G260"/>
      <c r="H260" s="253"/>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row>
    <row r="261" spans="1:98" s="111" customFormat="1" outlineLevel="1" x14ac:dyDescent="0.3">
      <c r="A261" s="111" t="s">
        <v>462</v>
      </c>
      <c r="B261" s="118" t="s">
        <v>463</v>
      </c>
      <c r="C261" s="118" t="str">
        <f t="shared" si="4"/>
        <v>ES Spain CCC: 0,833</v>
      </c>
      <c r="D261" s="119">
        <v>0.83299999999999996</v>
      </c>
      <c r="E261" s="111" t="s">
        <v>208</v>
      </c>
      <c r="F261" s="21"/>
      <c r="G261" s="254"/>
      <c r="H261" s="255"/>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row>
    <row r="262" spans="1:98" s="111" customFormat="1" outlineLevel="1" x14ac:dyDescent="0.3">
      <c r="A262" s="111" t="s">
        <v>464</v>
      </c>
      <c r="B262" s="118" t="s">
        <v>465</v>
      </c>
      <c r="C262" s="118" t="str">
        <f t="shared" si="4"/>
        <v>LK Sri Lanka CCC: 0,706</v>
      </c>
      <c r="D262" s="119">
        <v>0.70599999999999996</v>
      </c>
      <c r="E262" s="111" t="s">
        <v>197</v>
      </c>
      <c r="F262" s="21"/>
      <c r="G262"/>
      <c r="H262" s="253"/>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row>
    <row r="263" spans="1:98" s="111" customFormat="1" outlineLevel="1" x14ac:dyDescent="0.3">
      <c r="A263" s="111" t="s">
        <v>466</v>
      </c>
      <c r="B263" s="118" t="s">
        <v>467</v>
      </c>
      <c r="C263" s="118" t="str">
        <f t="shared" si="4"/>
        <v>SD Sudan (the) CCC: 0,984</v>
      </c>
      <c r="D263" s="119">
        <v>0.98399999999999999</v>
      </c>
      <c r="E263" s="111" t="s">
        <v>197</v>
      </c>
      <c r="F263" s="21"/>
      <c r="G263"/>
      <c r="H263" s="253"/>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row>
    <row r="264" spans="1:98" s="111" customFormat="1" outlineLevel="1" x14ac:dyDescent="0.3">
      <c r="A264" s="111" t="s">
        <v>468</v>
      </c>
      <c r="B264" s="118" t="s">
        <v>469</v>
      </c>
      <c r="C264" s="118" t="str">
        <f t="shared" si="4"/>
        <v>SR Suriname CCC: 0,63</v>
      </c>
      <c r="D264" s="119">
        <v>0.63</v>
      </c>
      <c r="E264" s="111" t="s">
        <v>197</v>
      </c>
      <c r="F264" s="21"/>
      <c r="G264"/>
      <c r="H264" s="253"/>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row>
    <row r="265" spans="1:98" s="111" customFormat="1" outlineLevel="1" x14ac:dyDescent="0.3">
      <c r="A265" s="111" t="s">
        <v>470</v>
      </c>
      <c r="B265" s="118" t="s">
        <v>471</v>
      </c>
      <c r="C265" s="118" t="str">
        <f t="shared" si="4"/>
        <v>SE Sweden CCC: 1,144</v>
      </c>
      <c r="D265" s="119">
        <v>1.1439999999999999</v>
      </c>
      <c r="E265" s="111" t="s">
        <v>208</v>
      </c>
      <c r="F265" s="21"/>
      <c r="G265"/>
      <c r="H265" s="253"/>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row>
    <row r="266" spans="1:98" s="111" customFormat="1" outlineLevel="1" x14ac:dyDescent="0.3">
      <c r="A266" s="111" t="s">
        <v>472</v>
      </c>
      <c r="B266" s="118" t="s">
        <v>473</v>
      </c>
      <c r="C266" s="118" t="str">
        <f t="shared" si="4"/>
        <v>CH Switzerland CCC: 1,173</v>
      </c>
      <c r="D266" s="119">
        <v>1.173</v>
      </c>
      <c r="E266" s="111" t="s">
        <v>194</v>
      </c>
      <c r="F266" s="21"/>
      <c r="G266" s="254"/>
      <c r="H266" s="255"/>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row>
    <row r="267" spans="1:98" s="111" customFormat="1" outlineLevel="1" x14ac:dyDescent="0.3">
      <c r="A267" s="111" t="s">
        <v>474</v>
      </c>
      <c r="B267" s="118" t="s">
        <v>475</v>
      </c>
      <c r="C267" s="118" t="str">
        <f t="shared" si="4"/>
        <v xml:space="preserve">SY Syrian Arab Republic (the) CCC: </v>
      </c>
      <c r="D267" s="119"/>
      <c r="E267" s="111" t="s">
        <v>197</v>
      </c>
      <c r="F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row>
    <row r="268" spans="1:98" s="111" customFormat="1" outlineLevel="1" x14ac:dyDescent="0.3">
      <c r="A268" s="111" t="s">
        <v>476</v>
      </c>
      <c r="B268" s="118" t="s">
        <v>477</v>
      </c>
      <c r="C268" s="118" t="str">
        <f t="shared" si="4"/>
        <v>TW Taiwan (Province of China) CCC: 0,773</v>
      </c>
      <c r="D268" s="119">
        <v>0.77300000000000002</v>
      </c>
      <c r="E268" s="111" t="s">
        <v>197</v>
      </c>
      <c r="F268" s="21"/>
      <c r="G268"/>
      <c r="H268" s="253"/>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row>
    <row r="269" spans="1:98" s="111" customFormat="1" outlineLevel="1" x14ac:dyDescent="0.3">
      <c r="A269" s="111" t="s">
        <v>478</v>
      </c>
      <c r="B269" s="118" t="s">
        <v>479</v>
      </c>
      <c r="C269" s="118" t="str">
        <f t="shared" si="4"/>
        <v>TJ Tajikistan CCC: 0,533</v>
      </c>
      <c r="D269" s="119">
        <v>0.53300000000000003</v>
      </c>
      <c r="E269" s="111" t="s">
        <v>197</v>
      </c>
      <c r="F269" s="21"/>
      <c r="G269"/>
      <c r="H269" s="253"/>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row>
    <row r="270" spans="1:98" s="111" customFormat="1" outlineLevel="1" x14ac:dyDescent="0.3">
      <c r="A270" s="111" t="s">
        <v>480</v>
      </c>
      <c r="B270" s="118" t="s">
        <v>481</v>
      </c>
      <c r="C270" s="118" t="str">
        <f t="shared" si="4"/>
        <v>TZ Tanzania, the United Republic of CCC: 0,62</v>
      </c>
      <c r="D270" s="119">
        <v>0.62</v>
      </c>
      <c r="E270" s="111" t="s">
        <v>197</v>
      </c>
      <c r="F270" s="21"/>
      <c r="G270" s="254"/>
      <c r="H270" s="255"/>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row>
    <row r="271" spans="1:98" s="111" customFormat="1" outlineLevel="1" x14ac:dyDescent="0.3">
      <c r="A271" s="111" t="s">
        <v>482</v>
      </c>
      <c r="B271" s="118" t="s">
        <v>483</v>
      </c>
      <c r="C271" s="118" t="str">
        <f t="shared" si="4"/>
        <v>TH Thailand CCC: 0,719</v>
      </c>
      <c r="D271" s="119">
        <v>0.71899999999999997</v>
      </c>
      <c r="E271" s="111" t="s">
        <v>197</v>
      </c>
      <c r="F271" s="21"/>
      <c r="G271" s="254"/>
      <c r="H271" s="255"/>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row>
    <row r="272" spans="1:98" s="111" customFormat="1" outlineLevel="1" x14ac:dyDescent="0.3">
      <c r="A272" s="111" t="s">
        <v>484</v>
      </c>
      <c r="B272" s="118" t="s">
        <v>485</v>
      </c>
      <c r="C272" s="118" t="str">
        <f t="shared" si="4"/>
        <v>TL Timor-Leste CCC: 0,809</v>
      </c>
      <c r="D272" s="119">
        <v>0.80900000000000005</v>
      </c>
      <c r="E272" s="111" t="s">
        <v>197</v>
      </c>
      <c r="F272" s="21"/>
      <c r="G272" s="254"/>
      <c r="H272" s="255"/>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row>
    <row r="273" spans="1:98" s="111" customFormat="1" outlineLevel="1" x14ac:dyDescent="0.3">
      <c r="A273" s="111" t="s">
        <v>486</v>
      </c>
      <c r="B273" s="118" t="s">
        <v>487</v>
      </c>
      <c r="C273" s="118" t="str">
        <f t="shared" si="4"/>
        <v>TG Togo CCC: 0,755</v>
      </c>
      <c r="D273" s="119">
        <v>0.755</v>
      </c>
      <c r="E273" s="111" t="s">
        <v>197</v>
      </c>
      <c r="F273" s="21"/>
      <c r="G273"/>
      <c r="H273" s="253"/>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row>
    <row r="274" spans="1:98" s="111" customFormat="1" outlineLevel="1" x14ac:dyDescent="0.3">
      <c r="A274" s="111" t="s">
        <v>488</v>
      </c>
      <c r="B274" s="118" t="s">
        <v>489</v>
      </c>
      <c r="C274" s="118" t="str">
        <f t="shared" si="4"/>
        <v xml:space="preserve">TO Tonga CCC: </v>
      </c>
      <c r="D274" s="119"/>
      <c r="E274" s="111" t="s">
        <v>197</v>
      </c>
      <c r="F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row>
    <row r="275" spans="1:98" s="111" customFormat="1" outlineLevel="1" x14ac:dyDescent="0.3">
      <c r="A275" s="111" t="s">
        <v>490</v>
      </c>
      <c r="B275" s="118" t="s">
        <v>491</v>
      </c>
      <c r="C275" s="118" t="str">
        <f t="shared" si="4"/>
        <v>TT Trinidad and Tobago CCC: 0,746</v>
      </c>
      <c r="D275" s="119">
        <v>0.746</v>
      </c>
      <c r="E275" s="111" t="s">
        <v>197</v>
      </c>
      <c r="F275" s="21"/>
      <c r="G275" s="254"/>
      <c r="H275" s="255"/>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row>
    <row r="276" spans="1:98" s="111" customFormat="1" outlineLevel="1" x14ac:dyDescent="0.3">
      <c r="A276" s="111" t="s">
        <v>492</v>
      </c>
      <c r="B276" s="118" t="s">
        <v>493</v>
      </c>
      <c r="C276" s="118" t="str">
        <f t="shared" si="4"/>
        <v>TN Tunisia CCC: 0,615</v>
      </c>
      <c r="D276" s="119">
        <v>0.61499999999999999</v>
      </c>
      <c r="E276" s="111" t="s">
        <v>194</v>
      </c>
      <c r="F276" s="21"/>
      <c r="G276" s="254"/>
      <c r="H276" s="255"/>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row>
    <row r="277" spans="1:98" s="111" customFormat="1" outlineLevel="1" x14ac:dyDescent="0.3">
      <c r="A277" s="111" t="s">
        <v>494</v>
      </c>
      <c r="B277" s="118" t="s">
        <v>495</v>
      </c>
      <c r="C277" s="118" t="str">
        <f t="shared" si="4"/>
        <v>TR Turkey CCC: 0,589</v>
      </c>
      <c r="D277" s="119">
        <v>0.58899999999999997</v>
      </c>
      <c r="E277" s="111" t="s">
        <v>194</v>
      </c>
      <c r="F277" s="21"/>
      <c r="G277"/>
      <c r="H277" s="253"/>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row>
    <row r="278" spans="1:98" s="111" customFormat="1" outlineLevel="1" x14ac:dyDescent="0.3">
      <c r="A278" s="111" t="s">
        <v>496</v>
      </c>
      <c r="B278" s="118" t="s">
        <v>497</v>
      </c>
      <c r="C278" s="118" t="str">
        <f t="shared" si="4"/>
        <v>TM Turkmenistan CCC: 0,756</v>
      </c>
      <c r="D278" s="119">
        <v>0.75600000000000001</v>
      </c>
      <c r="E278" s="111" t="s">
        <v>197</v>
      </c>
      <c r="F278" s="21"/>
      <c r="G278"/>
      <c r="H278" s="253"/>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row>
    <row r="279" spans="1:98" s="111" customFormat="1" outlineLevel="1" x14ac:dyDescent="0.3">
      <c r="A279" s="111" t="s">
        <v>498</v>
      </c>
      <c r="B279" s="118" t="s">
        <v>499</v>
      </c>
      <c r="C279" s="118" t="str">
        <f t="shared" si="4"/>
        <v>UG Uganda CCC: 0,613</v>
      </c>
      <c r="D279" s="119">
        <v>0.61299999999999999</v>
      </c>
      <c r="E279" s="111" t="s">
        <v>197</v>
      </c>
      <c r="F279" s="21"/>
      <c r="G279" s="254"/>
      <c r="H279" s="255"/>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row>
    <row r="280" spans="1:98" s="111" customFormat="1" outlineLevel="1" x14ac:dyDescent="0.3">
      <c r="A280" s="111" t="s">
        <v>500</v>
      </c>
      <c r="B280" s="118" t="s">
        <v>501</v>
      </c>
      <c r="C280" s="118" t="str">
        <f t="shared" si="4"/>
        <v>UA Ukraine CCC: 0,625</v>
      </c>
      <c r="D280" s="119">
        <v>0.625</v>
      </c>
      <c r="E280" s="111" t="s">
        <v>194</v>
      </c>
      <c r="F280" s="21"/>
      <c r="G280"/>
      <c r="H280" s="253"/>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row>
    <row r="281" spans="1:98" s="111" customFormat="1" outlineLevel="1" x14ac:dyDescent="0.3">
      <c r="A281" s="111" t="s">
        <v>502</v>
      </c>
      <c r="B281" s="118" t="s">
        <v>503</v>
      </c>
      <c r="C281" s="118" t="str">
        <f t="shared" si="4"/>
        <v>AE United Arab Emirates (the) CCC: 0,858</v>
      </c>
      <c r="D281" s="119">
        <v>0.85799999999999998</v>
      </c>
      <c r="E281" s="111" t="s">
        <v>197</v>
      </c>
      <c r="F281" s="21"/>
      <c r="G281" s="254"/>
      <c r="H281" s="255"/>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row>
    <row r="282" spans="1:98" s="111" customFormat="1" outlineLevel="1" x14ac:dyDescent="0.3">
      <c r="A282" s="111" t="s">
        <v>504</v>
      </c>
      <c r="B282" s="118" t="s">
        <v>505</v>
      </c>
      <c r="C282" s="118" t="str">
        <f t="shared" si="4"/>
        <v>UK United Kingdom of Great Britain and Northern Ireland (the) CCC: 1,249</v>
      </c>
      <c r="D282" s="119">
        <v>1.2490000000000001</v>
      </c>
      <c r="E282" s="111" t="s">
        <v>208</v>
      </c>
      <c r="F282" s="21"/>
      <c r="G282"/>
      <c r="H282" s="253"/>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row>
    <row r="283" spans="1:98" s="111" customFormat="1" outlineLevel="1" x14ac:dyDescent="0.3">
      <c r="A283" s="111" t="s">
        <v>506</v>
      </c>
      <c r="B283" s="118" t="s">
        <v>507</v>
      </c>
      <c r="C283" s="118" t="str">
        <f t="shared" si="4"/>
        <v>US United States of America (the) CCC: 0,933</v>
      </c>
      <c r="D283" s="119">
        <v>0.93300000000000005</v>
      </c>
      <c r="E283" s="111" t="s">
        <v>197</v>
      </c>
      <c r="F283" s="21"/>
      <c r="G283" s="254"/>
      <c r="H283" s="255"/>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row>
    <row r="284" spans="1:98" s="111" customFormat="1" outlineLevel="1" x14ac:dyDescent="0.3">
      <c r="A284" s="111" t="s">
        <v>508</v>
      </c>
      <c r="B284" s="118" t="s">
        <v>509</v>
      </c>
      <c r="C284" s="118" t="str">
        <f t="shared" si="4"/>
        <v>UY Uruguay CCC: 0,818</v>
      </c>
      <c r="D284" s="119">
        <v>0.81799999999999995</v>
      </c>
      <c r="E284" s="111" t="s">
        <v>197</v>
      </c>
      <c r="F284" s="21"/>
      <c r="G284"/>
      <c r="H284" s="253"/>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row>
    <row r="285" spans="1:98" s="111" customFormat="1" outlineLevel="1" x14ac:dyDescent="0.3">
      <c r="A285" s="111" t="s">
        <v>510</v>
      </c>
      <c r="B285" s="118" t="s">
        <v>511</v>
      </c>
      <c r="C285" s="118" t="str">
        <f t="shared" si="4"/>
        <v>UZ Uzbekistan CCC: 0,62</v>
      </c>
      <c r="D285" s="119">
        <v>0.62</v>
      </c>
      <c r="E285" s="111" t="s">
        <v>197</v>
      </c>
      <c r="F285" s="21"/>
      <c r="G285" s="254"/>
      <c r="H285" s="255"/>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row>
    <row r="286" spans="1:98" s="111" customFormat="1" outlineLevel="1" x14ac:dyDescent="0.3">
      <c r="A286" s="111" t="s">
        <v>512</v>
      </c>
      <c r="B286" s="118" t="s">
        <v>513</v>
      </c>
      <c r="C286" s="118" t="str">
        <f t="shared" si="4"/>
        <v>VU Vanuatu CCC: 0,956</v>
      </c>
      <c r="D286" s="119">
        <v>0.95599999999999996</v>
      </c>
      <c r="E286" s="111" t="s">
        <v>197</v>
      </c>
      <c r="F286" s="21"/>
      <c r="G286"/>
      <c r="H286" s="253"/>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row>
    <row r="287" spans="1:98" s="111" customFormat="1" outlineLevel="1" x14ac:dyDescent="0.3">
      <c r="A287" s="111" t="s">
        <v>514</v>
      </c>
      <c r="B287" s="118" t="s">
        <v>515</v>
      </c>
      <c r="C287" s="118" t="str">
        <f t="shared" ref="C287:C293" si="5">A287&amp;" "&amp;B287&amp;" "&amp;"CCC: "&amp;D287</f>
        <v>VE Venezuela (Bolivarian Republic of) CCC: 1,27</v>
      </c>
      <c r="D287" s="119">
        <v>1.27</v>
      </c>
      <c r="E287" s="111" t="s">
        <v>197</v>
      </c>
      <c r="F287" s="21"/>
      <c r="G287"/>
      <c r="H287" s="253"/>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row>
    <row r="288" spans="1:98" s="111" customFormat="1" outlineLevel="1" x14ac:dyDescent="0.3">
      <c r="A288" s="111" t="s">
        <v>516</v>
      </c>
      <c r="B288" s="118" t="s">
        <v>517</v>
      </c>
      <c r="C288" s="118" t="str">
        <f t="shared" si="5"/>
        <v>VN Viet Nam CCC: 0,559</v>
      </c>
      <c r="D288" s="119">
        <v>0.55900000000000005</v>
      </c>
      <c r="E288" s="111" t="s">
        <v>197</v>
      </c>
      <c r="F288" s="21"/>
      <c r="G288" s="254"/>
      <c r="H288" s="255"/>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row>
    <row r="289" spans="1:100" s="111" customFormat="1" outlineLevel="1" x14ac:dyDescent="0.3">
      <c r="A289" s="111" t="s">
        <v>518</v>
      </c>
      <c r="B289" s="118" t="s">
        <v>519</v>
      </c>
      <c r="C289" s="118" t="str">
        <f t="shared" si="5"/>
        <v>YE Yemen CCC: 0,953</v>
      </c>
      <c r="D289" s="119">
        <v>0.95299999999999996</v>
      </c>
      <c r="E289" s="111" t="s">
        <v>197</v>
      </c>
      <c r="F289" s="21"/>
      <c r="G289" s="254"/>
      <c r="H289" s="255"/>
      <c r="I289" s="21"/>
      <c r="J289" s="21"/>
      <c r="K289" s="21"/>
      <c r="L289" s="21"/>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row>
    <row r="290" spans="1:100" s="111" customFormat="1" outlineLevel="1" x14ac:dyDescent="0.3">
      <c r="A290" s="111" t="s">
        <v>520</v>
      </c>
      <c r="B290" s="118" t="s">
        <v>521</v>
      </c>
      <c r="C290" s="118" t="str">
        <f t="shared" si="5"/>
        <v>ZM Zambia CCC: 0,682</v>
      </c>
      <c r="D290" s="119">
        <v>0.68200000000000005</v>
      </c>
      <c r="E290" s="111" t="s">
        <v>197</v>
      </c>
      <c r="F290" s="21"/>
      <c r="G290" s="254"/>
      <c r="H290" s="255"/>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row>
    <row r="291" spans="1:100" s="111" customFormat="1" outlineLevel="1" x14ac:dyDescent="0.3">
      <c r="A291" s="111" t="s">
        <v>522</v>
      </c>
      <c r="B291" s="118" t="s">
        <v>523</v>
      </c>
      <c r="C291" s="118" t="str">
        <f t="shared" si="5"/>
        <v>ZW Zimbabwe CCC: 0,897</v>
      </c>
      <c r="D291" s="119">
        <v>0.89700000000000002</v>
      </c>
      <c r="E291" s="111" t="s">
        <v>197</v>
      </c>
      <c r="F291" s="21"/>
      <c r="G291"/>
      <c r="H291" s="253"/>
      <c r="I291" s="21"/>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row>
    <row r="292" spans="1:100" s="111" customFormat="1" outlineLevel="1" x14ac:dyDescent="0.3">
      <c r="A292" s="111" t="s">
        <v>524</v>
      </c>
      <c r="C292" s="118" t="str">
        <f t="shared" si="5"/>
        <v>EL  CCC: 0,745</v>
      </c>
      <c r="D292" s="119">
        <v>0.745</v>
      </c>
      <c r="E292" s="111" t="s">
        <v>208</v>
      </c>
      <c r="F292" s="21"/>
      <c r="G292"/>
      <c r="H292" s="253"/>
      <c r="I292" s="21"/>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c r="CC292" s="21"/>
      <c r="CD292" s="21"/>
      <c r="CE292" s="21"/>
      <c r="CF292" s="21"/>
      <c r="CG292" s="21"/>
      <c r="CH292" s="21"/>
      <c r="CI292" s="21"/>
      <c r="CJ292" s="21"/>
      <c r="CK292" s="21"/>
      <c r="CL292" s="21"/>
      <c r="CM292" s="21"/>
      <c r="CN292" s="21"/>
      <c r="CO292" s="21"/>
      <c r="CP292" s="21"/>
      <c r="CQ292" s="21"/>
      <c r="CR292" s="21"/>
      <c r="CS292" s="21"/>
      <c r="CT292" s="21"/>
    </row>
    <row r="293" spans="1:100" s="111" customFormat="1" outlineLevel="1" x14ac:dyDescent="0.3">
      <c r="A293" s="111" t="s">
        <v>525</v>
      </c>
      <c r="C293" s="118" t="str">
        <f t="shared" si="5"/>
        <v>XK  CCC: 0,641</v>
      </c>
      <c r="D293" s="119">
        <v>0.64100000000000001</v>
      </c>
      <c r="E293" s="111" t="s">
        <v>197</v>
      </c>
      <c r="F293" s="21"/>
      <c r="G293"/>
      <c r="H293" s="253"/>
      <c r="I293" s="21"/>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c r="CC293" s="21"/>
      <c r="CD293" s="21"/>
      <c r="CE293" s="21"/>
      <c r="CF293" s="21"/>
      <c r="CG293" s="21"/>
      <c r="CH293" s="21"/>
      <c r="CI293" s="21"/>
      <c r="CJ293" s="21"/>
      <c r="CK293" s="21"/>
      <c r="CL293" s="21"/>
      <c r="CM293" s="21"/>
      <c r="CN293" s="21"/>
      <c r="CO293" s="21"/>
      <c r="CP293" s="21"/>
      <c r="CQ293" s="21"/>
      <c r="CR293" s="21"/>
      <c r="CS293" s="21"/>
      <c r="CT293" s="21"/>
    </row>
    <row r="294" spans="1:100" s="111" customFormat="1" outlineLevel="1" x14ac:dyDescent="0.3">
      <c r="A294" s="20"/>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row>
    <row r="295" spans="1:100" s="111" customFormat="1" outlineLevel="1" x14ac:dyDescent="0.3">
      <c r="A295" s="20"/>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c r="CC295" s="21"/>
      <c r="CD295" s="21"/>
      <c r="CE295" s="21"/>
      <c r="CF295" s="21"/>
      <c r="CG295" s="21"/>
      <c r="CH295" s="21"/>
      <c r="CI295" s="21"/>
      <c r="CJ295" s="21"/>
      <c r="CK295" s="21"/>
      <c r="CL295" s="21"/>
      <c r="CM295" s="21"/>
      <c r="CN295" s="21"/>
      <c r="CO295" s="21"/>
      <c r="CP295" s="21"/>
      <c r="CQ295" s="21"/>
      <c r="CR295" s="21"/>
      <c r="CS295" s="21"/>
      <c r="CT295" s="21"/>
    </row>
    <row r="296" spans="1:100" s="111" customFormat="1" outlineLevel="1" x14ac:dyDescent="0.3">
      <c r="A296" s="20"/>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c r="CC296" s="21"/>
      <c r="CD296" s="21"/>
      <c r="CE296" s="21"/>
      <c r="CF296" s="21"/>
      <c r="CG296" s="21"/>
      <c r="CH296" s="21"/>
      <c r="CI296" s="21"/>
      <c r="CJ296" s="21"/>
      <c r="CK296" s="21"/>
      <c r="CL296" s="21"/>
      <c r="CM296" s="21"/>
      <c r="CN296" s="21"/>
      <c r="CO296" s="21"/>
      <c r="CP296" s="21"/>
      <c r="CQ296" s="21"/>
      <c r="CR296" s="21"/>
      <c r="CS296" s="21"/>
      <c r="CT296" s="21"/>
    </row>
    <row r="297" spans="1:100" s="111" customFormat="1" outlineLevel="1" x14ac:dyDescent="0.3">
      <c r="A297" s="120"/>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c r="AP297" s="121"/>
      <c r="AQ297" s="121"/>
      <c r="AR297" s="121"/>
      <c r="AS297" s="121"/>
      <c r="AT297" s="121"/>
      <c r="AU297" s="121"/>
      <c r="AV297" s="121"/>
      <c r="AW297" s="121"/>
      <c r="AX297" s="121"/>
      <c r="AY297" s="121"/>
      <c r="AZ297" s="121"/>
      <c r="BA297" s="121"/>
      <c r="BB297" s="121"/>
      <c r="BC297" s="121"/>
      <c r="BD297" s="121"/>
      <c r="BE297" s="121"/>
      <c r="BF297" s="121"/>
      <c r="BG297" s="121"/>
      <c r="BH297" s="121"/>
      <c r="BI297" s="121"/>
      <c r="BJ297" s="121"/>
      <c r="BK297" s="121"/>
      <c r="BL297" s="121"/>
      <c r="BM297" s="121"/>
      <c r="BN297" s="121"/>
      <c r="BO297" s="121"/>
      <c r="BP297" s="121"/>
      <c r="BQ297" s="121"/>
      <c r="BR297" s="121"/>
      <c r="BS297" s="121"/>
      <c r="BT297" s="121"/>
      <c r="BU297" s="121"/>
      <c r="BV297" s="121"/>
      <c r="BW297" s="121"/>
      <c r="BX297" s="121"/>
      <c r="BY297" s="121"/>
      <c r="BZ297" s="121"/>
      <c r="CA297" s="121"/>
      <c r="CB297" s="121"/>
      <c r="CC297" s="121"/>
      <c r="CD297" s="121"/>
      <c r="CE297" s="121"/>
      <c r="CF297" s="121"/>
      <c r="CG297" s="121"/>
      <c r="CH297" s="121"/>
      <c r="CI297" s="121"/>
      <c r="CJ297" s="121"/>
      <c r="CK297" s="121"/>
      <c r="CL297" s="121"/>
      <c r="CM297" s="121"/>
      <c r="CN297" s="121"/>
      <c r="CO297" s="121"/>
      <c r="CP297" s="121"/>
      <c r="CQ297" s="121"/>
      <c r="CR297" s="121"/>
      <c r="CS297" s="121"/>
      <c r="CT297" s="121"/>
      <c r="CU297" s="122"/>
      <c r="CV297" s="122"/>
    </row>
    <row r="298" spans="1:100" s="111" customFormat="1" outlineLevel="1" x14ac:dyDescent="0.3"/>
    <row r="299" spans="1:100" s="111" customFormat="1" ht="18" collapsed="1" x14ac:dyDescent="0.35">
      <c r="A299" s="123" t="s">
        <v>158</v>
      </c>
    </row>
    <row r="300" spans="1:100" s="122" customFormat="1" x14ac:dyDescent="0.3">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c r="AG300" s="111"/>
      <c r="AH300" s="111"/>
      <c r="AI300" s="111"/>
      <c r="AJ300" s="111"/>
      <c r="AK300" s="111"/>
      <c r="AL300" s="111"/>
      <c r="AM300" s="111"/>
      <c r="AN300" s="111"/>
      <c r="AO300" s="111"/>
      <c r="AP300" s="111"/>
      <c r="AQ300" s="111"/>
      <c r="AR300" s="111"/>
      <c r="AS300" s="111"/>
      <c r="AT300" s="111"/>
      <c r="AU300" s="111"/>
      <c r="AV300" s="111"/>
      <c r="AW300" s="111"/>
      <c r="AX300" s="111"/>
      <c r="AY300" s="111"/>
      <c r="AZ300" s="111"/>
      <c r="BA300" s="111"/>
      <c r="BB300" s="111"/>
      <c r="BC300" s="111"/>
      <c r="BD300" s="111"/>
      <c r="BE300" s="111"/>
      <c r="BF300" s="111"/>
      <c r="BG300" s="111"/>
      <c r="BH300" s="111"/>
      <c r="BI300" s="111"/>
      <c r="BJ300" s="111"/>
      <c r="BK300" s="111"/>
      <c r="BL300" s="111"/>
      <c r="BM300" s="111"/>
      <c r="BN300" s="111"/>
      <c r="BO300" s="111"/>
      <c r="BP300" s="111"/>
      <c r="BQ300" s="111"/>
      <c r="BR300" s="111"/>
      <c r="BS300" s="111"/>
      <c r="BT300" s="111"/>
      <c r="BU300" s="111"/>
      <c r="BV300" s="111"/>
      <c r="BW300" s="111"/>
      <c r="BX300" s="111"/>
      <c r="BY300" s="111"/>
      <c r="BZ300" s="111"/>
      <c r="CA300" s="111"/>
      <c r="CB300" s="111"/>
      <c r="CC300" s="111"/>
      <c r="CD300" s="111"/>
      <c r="CE300" s="111"/>
      <c r="CF300" s="111"/>
      <c r="CG300" s="111"/>
      <c r="CH300" s="111"/>
      <c r="CI300" s="111"/>
      <c r="CJ300" s="111"/>
      <c r="CK300" s="111"/>
      <c r="CL300" s="111"/>
      <c r="CM300" s="111"/>
      <c r="CN300" s="111"/>
      <c r="CO300" s="111"/>
      <c r="CP300" s="111"/>
      <c r="CQ300" s="111"/>
      <c r="CR300" s="111"/>
      <c r="CS300" s="111"/>
      <c r="CT300" s="111"/>
      <c r="CU300" s="111"/>
      <c r="CV300" s="111"/>
    </row>
    <row r="301" spans="1:100" s="111" customFormat="1" x14ac:dyDescent="0.3">
      <c r="A301" s="22" t="s">
        <v>699</v>
      </c>
      <c r="C301" s="22" t="s">
        <v>700</v>
      </c>
      <c r="E301" s="22" t="s">
        <v>701</v>
      </c>
      <c r="G301" s="22" t="s">
        <v>702</v>
      </c>
      <c r="I301" s="22" t="s">
        <v>566</v>
      </c>
      <c r="J301" s="22" t="s">
        <v>563</v>
      </c>
    </row>
    <row r="302" spans="1:100" s="111" customFormat="1" x14ac:dyDescent="0.3">
      <c r="A302" s="124" t="s">
        <v>15</v>
      </c>
      <c r="C302" s="124" t="s">
        <v>15</v>
      </c>
      <c r="E302" s="20" t="s">
        <v>41</v>
      </c>
      <c r="G302" s="20" t="s">
        <v>15</v>
      </c>
      <c r="I302" s="20" t="s">
        <v>682</v>
      </c>
      <c r="J302" s="20" t="s">
        <v>585</v>
      </c>
    </row>
    <row r="303" spans="1:100" s="111" customFormat="1" x14ac:dyDescent="0.3">
      <c r="A303" s="125" t="s">
        <v>21</v>
      </c>
      <c r="C303" s="125" t="s">
        <v>21</v>
      </c>
      <c r="E303" s="20" t="s">
        <v>18</v>
      </c>
      <c r="G303" s="20" t="s">
        <v>21</v>
      </c>
      <c r="I303" s="20" t="s">
        <v>683</v>
      </c>
      <c r="J303" s="20" t="s">
        <v>585</v>
      </c>
    </row>
    <row r="304" spans="1:100" s="111" customFormat="1" outlineLevel="1" x14ac:dyDescent="0.3">
      <c r="A304" s="125" t="s">
        <v>39</v>
      </c>
      <c r="C304" s="125" t="s">
        <v>39</v>
      </c>
      <c r="E304" s="20" t="s">
        <v>42</v>
      </c>
      <c r="G304" s="20" t="s">
        <v>39</v>
      </c>
      <c r="I304" s="20" t="s">
        <v>24</v>
      </c>
      <c r="J304" s="20" t="s">
        <v>585</v>
      </c>
    </row>
    <row r="305" spans="1:10" s="111" customFormat="1" outlineLevel="1" x14ac:dyDescent="0.3">
      <c r="A305" s="125" t="s">
        <v>38</v>
      </c>
      <c r="C305" s="125" t="s">
        <v>38</v>
      </c>
      <c r="E305" s="20" t="s">
        <v>43</v>
      </c>
      <c r="G305" s="20" t="s">
        <v>38</v>
      </c>
      <c r="I305" s="20" t="s">
        <v>46</v>
      </c>
      <c r="J305" s="20" t="s">
        <v>585</v>
      </c>
    </row>
    <row r="306" spans="1:10" s="111" customFormat="1" outlineLevel="1" x14ac:dyDescent="0.3">
      <c r="A306" s="125" t="s">
        <v>19</v>
      </c>
      <c r="C306" s="125" t="s">
        <v>19</v>
      </c>
      <c r="E306" s="20" t="s">
        <v>44</v>
      </c>
      <c r="G306" s="20" t="s">
        <v>41</v>
      </c>
      <c r="I306" s="20" t="s">
        <v>25</v>
      </c>
      <c r="J306" s="20" t="s">
        <v>585</v>
      </c>
    </row>
    <row r="307" spans="1:10" s="111" customFormat="1" outlineLevel="1" x14ac:dyDescent="0.3">
      <c r="A307" s="125" t="s">
        <v>23</v>
      </c>
      <c r="C307" s="125" t="s">
        <v>23</v>
      </c>
      <c r="E307" s="20" t="s">
        <v>45</v>
      </c>
      <c r="G307" s="20" t="s">
        <v>18</v>
      </c>
      <c r="I307" s="20" t="s">
        <v>26</v>
      </c>
      <c r="J307" s="20" t="s">
        <v>585</v>
      </c>
    </row>
    <row r="308" spans="1:10" s="111" customFormat="1" outlineLevel="1" x14ac:dyDescent="0.3">
      <c r="A308" s="125" t="s">
        <v>16</v>
      </c>
      <c r="C308" s="125" t="s">
        <v>16</v>
      </c>
      <c r="E308" s="20" t="s">
        <v>28</v>
      </c>
      <c r="G308" s="20" t="s">
        <v>19</v>
      </c>
      <c r="I308" s="20" t="s">
        <v>684</v>
      </c>
      <c r="J308" s="20" t="s">
        <v>585</v>
      </c>
    </row>
    <row r="309" spans="1:10" s="111" customFormat="1" outlineLevel="1" x14ac:dyDescent="0.3">
      <c r="A309" s="125" t="s">
        <v>22</v>
      </c>
      <c r="C309" s="125" t="s">
        <v>22</v>
      </c>
      <c r="E309" s="20" t="s">
        <v>29</v>
      </c>
      <c r="G309" s="20" t="s">
        <v>23</v>
      </c>
      <c r="I309" s="20" t="s">
        <v>685</v>
      </c>
      <c r="J309" s="20" t="s">
        <v>585</v>
      </c>
    </row>
    <row r="310" spans="1:10" s="111" customFormat="1" outlineLevel="1" x14ac:dyDescent="0.3">
      <c r="A310" s="125" t="s">
        <v>20</v>
      </c>
      <c r="C310" s="125" t="s">
        <v>20</v>
      </c>
      <c r="E310" s="20" t="s">
        <v>17</v>
      </c>
      <c r="G310" s="20" t="s">
        <v>16</v>
      </c>
      <c r="I310" s="20" t="s">
        <v>47</v>
      </c>
      <c r="J310" s="20" t="s">
        <v>585</v>
      </c>
    </row>
    <row r="311" spans="1:10" s="111" customFormat="1" outlineLevel="1" x14ac:dyDescent="0.3">
      <c r="A311" s="125"/>
      <c r="C311" s="125" t="s">
        <v>718</v>
      </c>
      <c r="G311" s="20" t="s">
        <v>22</v>
      </c>
      <c r="I311" s="20" t="s">
        <v>686</v>
      </c>
      <c r="J311" s="20" t="s">
        <v>585</v>
      </c>
    </row>
    <row r="312" spans="1:10" s="111" customFormat="1" outlineLevel="1" x14ac:dyDescent="0.3">
      <c r="G312" s="20" t="s">
        <v>20</v>
      </c>
      <c r="I312" s="20" t="s">
        <v>687</v>
      </c>
      <c r="J312" s="20" t="s">
        <v>585</v>
      </c>
    </row>
    <row r="313" spans="1:10" s="111" customFormat="1" outlineLevel="1" x14ac:dyDescent="0.3">
      <c r="G313" s="262" t="s">
        <v>718</v>
      </c>
      <c r="I313" s="20" t="s">
        <v>27</v>
      </c>
      <c r="J313" s="20" t="s">
        <v>585</v>
      </c>
    </row>
    <row r="314" spans="1:10" s="111" customFormat="1" outlineLevel="1" x14ac:dyDescent="0.3">
      <c r="G314" s="262" t="s">
        <v>42</v>
      </c>
      <c r="I314" s="20" t="s">
        <v>43</v>
      </c>
      <c r="J314" s="20" t="s">
        <v>585</v>
      </c>
    </row>
    <row r="315" spans="1:10" s="111" customFormat="1" outlineLevel="1" x14ac:dyDescent="0.3">
      <c r="G315" s="262" t="s">
        <v>43</v>
      </c>
      <c r="I315" s="20" t="s">
        <v>44</v>
      </c>
      <c r="J315" s="20" t="s">
        <v>585</v>
      </c>
    </row>
    <row r="316" spans="1:10" s="111" customFormat="1" outlineLevel="1" x14ac:dyDescent="0.3">
      <c r="G316" s="262" t="s">
        <v>44</v>
      </c>
      <c r="I316" s="20" t="s">
        <v>42</v>
      </c>
      <c r="J316" s="20" t="s">
        <v>585</v>
      </c>
    </row>
    <row r="317" spans="1:10" s="111" customFormat="1" outlineLevel="1" x14ac:dyDescent="0.3">
      <c r="G317" s="262" t="s">
        <v>45</v>
      </c>
      <c r="I317" s="20" t="s">
        <v>18</v>
      </c>
      <c r="J317" s="20" t="s">
        <v>585</v>
      </c>
    </row>
    <row r="318" spans="1:10" s="111" customFormat="1" outlineLevel="1" x14ac:dyDescent="0.3">
      <c r="G318" s="262" t="s">
        <v>28</v>
      </c>
      <c r="I318" s="20" t="s">
        <v>688</v>
      </c>
      <c r="J318" s="20" t="s">
        <v>585</v>
      </c>
    </row>
    <row r="319" spans="1:10" s="111" customFormat="1" outlineLevel="1" x14ac:dyDescent="0.3">
      <c r="G319" s="262" t="s">
        <v>29</v>
      </c>
      <c r="I319" s="20" t="s">
        <v>689</v>
      </c>
      <c r="J319" s="20" t="s">
        <v>585</v>
      </c>
    </row>
    <row r="320" spans="1:10" s="111" customFormat="1" outlineLevel="1" x14ac:dyDescent="0.3">
      <c r="G320" s="20" t="s">
        <v>17</v>
      </c>
      <c r="I320" s="20"/>
      <c r="J320" s="20"/>
    </row>
    <row r="321" spans="1:100" s="111" customFormat="1" outlineLevel="1" x14ac:dyDescent="0.3"/>
    <row r="322" spans="1:100" s="111" customFormat="1" outlineLevel="1" x14ac:dyDescent="0.3"/>
    <row r="323" spans="1:100" s="111" customFormat="1" outlineLevel="1" x14ac:dyDescent="0.3"/>
    <row r="324" spans="1:100" s="111" customFormat="1" outlineLevel="1" x14ac:dyDescent="0.3"/>
    <row r="325" spans="1:100" s="111" customFormat="1" outlineLevel="1" x14ac:dyDescent="0.3"/>
    <row r="326" spans="1:100" s="111" customFormat="1" outlineLevel="1" x14ac:dyDescent="0.3"/>
    <row r="327" spans="1:100" s="111" customFormat="1" outlineLevel="1" x14ac:dyDescent="0.3"/>
    <row r="328" spans="1:100" s="111" customFormat="1" outlineLevel="1" x14ac:dyDescent="0.3"/>
    <row r="329" spans="1:100" s="111" customFormat="1" outlineLevel="1" x14ac:dyDescent="0.3"/>
    <row r="330" spans="1:100" s="111" customFormat="1" ht="14.25" customHeight="1" outlineLevel="1" x14ac:dyDescent="0.3"/>
    <row r="331" spans="1:100" s="111" customFormat="1" outlineLevel="1" x14ac:dyDescent="0.3"/>
    <row r="332" spans="1:100" s="111" customFormat="1" outlineLevel="1" x14ac:dyDescent="0.3"/>
    <row r="333" spans="1:100" s="111" customFormat="1" outlineLevel="1" x14ac:dyDescent="0.3"/>
    <row r="334" spans="1:100" s="111" customFormat="1" outlineLevel="1" x14ac:dyDescent="0.3"/>
    <row r="335" spans="1:100" s="111" customFormat="1" ht="18" outlineLevel="1" x14ac:dyDescent="0.3">
      <c r="A335" s="58"/>
      <c r="B335" s="20"/>
      <c r="C335" s="20"/>
      <c r="D335" s="20"/>
      <c r="E335" s="20"/>
      <c r="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20"/>
      <c r="BH335" s="20"/>
      <c r="BI335" s="20"/>
      <c r="BJ335" s="20"/>
      <c r="BK335" s="20"/>
      <c r="BL335" s="20"/>
      <c r="BM335" s="20"/>
      <c r="BN335" s="20"/>
      <c r="BO335" s="20"/>
      <c r="BP335" s="20"/>
      <c r="BQ335" s="20"/>
      <c r="BR335" s="20"/>
      <c r="BS335" s="20"/>
      <c r="BT335" s="20"/>
      <c r="BU335" s="20"/>
      <c r="BV335" s="20"/>
      <c r="BW335" s="20"/>
      <c r="BX335" s="20"/>
      <c r="BY335" s="20"/>
      <c r="BZ335" s="20"/>
      <c r="CA335" s="20"/>
      <c r="CB335" s="20"/>
      <c r="CC335" s="20"/>
      <c r="CD335" s="20"/>
      <c r="CE335" s="20"/>
      <c r="CF335" s="20"/>
      <c r="CG335" s="20"/>
      <c r="CH335" s="20"/>
      <c r="CI335" s="20"/>
      <c r="CJ335" s="20"/>
      <c r="CK335" s="20"/>
      <c r="CL335" s="20"/>
      <c r="CM335" s="20"/>
      <c r="CN335" s="20"/>
      <c r="CO335" s="20"/>
      <c r="CP335" s="20"/>
      <c r="CQ335" s="20"/>
      <c r="CR335" s="20"/>
      <c r="CS335" s="20"/>
      <c r="CT335" s="21"/>
      <c r="CU335" s="21"/>
      <c r="CV335" s="21"/>
    </row>
    <row r="336" spans="1:100" s="111" customFormat="1" ht="18" x14ac:dyDescent="0.3">
      <c r="A336" s="58"/>
      <c r="B336" s="20"/>
      <c r="C336" s="20"/>
      <c r="D336" s="20"/>
      <c r="E336" s="20"/>
      <c r="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20"/>
      <c r="BH336" s="20"/>
      <c r="BI336" s="20"/>
      <c r="BJ336" s="20"/>
      <c r="BK336" s="20"/>
      <c r="BL336" s="20"/>
      <c r="BM336" s="20"/>
      <c r="BN336" s="20"/>
      <c r="BO336" s="20"/>
      <c r="BP336" s="20"/>
      <c r="BQ336" s="20"/>
      <c r="BR336" s="20"/>
      <c r="BS336" s="20"/>
      <c r="BT336" s="20"/>
      <c r="BU336" s="20"/>
      <c r="BV336" s="20"/>
      <c r="BW336" s="20"/>
      <c r="BX336" s="20"/>
      <c r="BY336" s="20"/>
      <c r="BZ336" s="20"/>
      <c r="CA336" s="20"/>
      <c r="CB336" s="20"/>
      <c r="CC336" s="20"/>
      <c r="CD336" s="20"/>
      <c r="CE336" s="20"/>
      <c r="CF336" s="20"/>
      <c r="CG336" s="20"/>
      <c r="CH336" s="20"/>
      <c r="CI336" s="20"/>
      <c r="CJ336" s="20"/>
      <c r="CK336" s="20"/>
      <c r="CL336" s="20"/>
      <c r="CM336" s="20"/>
      <c r="CN336" s="20"/>
      <c r="CO336" s="20"/>
      <c r="CP336" s="20"/>
      <c r="CQ336" s="20"/>
      <c r="CR336" s="20"/>
      <c r="CS336" s="20"/>
      <c r="CT336" s="21"/>
      <c r="CU336" s="21"/>
      <c r="CV336" s="21"/>
    </row>
    <row r="337" spans="1:106" s="111" customFormat="1" x14ac:dyDescent="0.3"/>
    <row r="338" spans="1:106" ht="11.25" customHeight="1" x14ac:dyDescent="0.3">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c r="AH338" s="111"/>
      <c r="AI338" s="111"/>
      <c r="AJ338" s="111"/>
      <c r="AK338" s="111"/>
      <c r="AL338" s="111"/>
      <c r="AM338" s="111"/>
      <c r="AN338" s="111"/>
      <c r="AO338" s="111"/>
      <c r="AP338" s="111"/>
      <c r="AQ338" s="111"/>
      <c r="AR338" s="111"/>
      <c r="AS338" s="111"/>
      <c r="AT338" s="111"/>
      <c r="AU338" s="111"/>
      <c r="AV338" s="111"/>
      <c r="AW338" s="111"/>
      <c r="AX338" s="111"/>
      <c r="AY338" s="111"/>
      <c r="AZ338" s="111"/>
      <c r="BA338" s="111"/>
      <c r="BB338" s="111"/>
      <c r="BC338" s="111"/>
      <c r="BD338" s="111"/>
      <c r="BE338" s="111"/>
      <c r="BF338" s="111"/>
      <c r="BG338" s="111"/>
      <c r="BH338" s="111"/>
      <c r="BI338" s="111"/>
      <c r="BJ338" s="111"/>
      <c r="BK338" s="111"/>
      <c r="BL338" s="111"/>
      <c r="BM338" s="111"/>
      <c r="BN338" s="111"/>
      <c r="BO338" s="111"/>
      <c r="BP338" s="111"/>
      <c r="BQ338" s="111"/>
      <c r="BR338" s="111"/>
      <c r="BS338" s="111"/>
      <c r="BT338" s="111"/>
      <c r="BU338" s="111"/>
      <c r="BV338" s="111"/>
      <c r="BW338" s="111"/>
      <c r="BX338" s="111"/>
      <c r="BY338" s="111"/>
      <c r="BZ338" s="111"/>
      <c r="CA338" s="111"/>
      <c r="CB338" s="111"/>
      <c r="CC338" s="111"/>
      <c r="CD338" s="111"/>
      <c r="CE338" s="111"/>
      <c r="CF338" s="111"/>
      <c r="CG338" s="111"/>
      <c r="CH338" s="111"/>
      <c r="CI338" s="111"/>
      <c r="CJ338" s="111"/>
      <c r="CK338" s="111"/>
      <c r="CL338" s="111"/>
      <c r="CM338" s="111"/>
      <c r="CN338" s="111"/>
      <c r="CO338" s="111"/>
      <c r="CP338" s="111"/>
      <c r="CQ338" s="111"/>
      <c r="CR338" s="111"/>
      <c r="CS338" s="111"/>
      <c r="CT338" s="111"/>
      <c r="CU338" s="111"/>
      <c r="CV338" s="111"/>
      <c r="CW338" s="21"/>
      <c r="CX338" s="21"/>
      <c r="CY338" s="21"/>
      <c r="CZ338" s="21"/>
      <c r="DA338" s="21"/>
      <c r="DB338" s="21"/>
    </row>
    <row r="339" spans="1:106" ht="11.25" customHeight="1" x14ac:dyDescent="0.3">
      <c r="A339" s="111"/>
      <c r="B339" s="111"/>
      <c r="C339" s="111"/>
      <c r="D339" s="111"/>
      <c r="E339" s="111"/>
      <c r="F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c r="AI339" s="111"/>
      <c r="AJ339" s="111"/>
      <c r="AK339" s="111"/>
      <c r="AL339" s="111"/>
      <c r="AM339" s="111"/>
      <c r="AN339" s="111"/>
      <c r="AO339" s="111"/>
      <c r="AP339" s="111"/>
      <c r="AQ339" s="111"/>
      <c r="AR339" s="111"/>
      <c r="AS339" s="111"/>
      <c r="AT339" s="111"/>
      <c r="AU339" s="111"/>
      <c r="AV339" s="111"/>
      <c r="AW339" s="111"/>
      <c r="AX339" s="111"/>
      <c r="AY339" s="111"/>
      <c r="AZ339" s="111"/>
      <c r="BA339" s="111"/>
      <c r="BB339" s="111"/>
      <c r="BC339" s="111"/>
      <c r="BD339" s="111"/>
      <c r="BE339" s="111"/>
      <c r="BF339" s="111"/>
      <c r="BG339" s="111"/>
      <c r="BH339" s="111"/>
      <c r="BI339" s="111"/>
      <c r="BJ339" s="111"/>
      <c r="BK339" s="111"/>
      <c r="BL339" s="111"/>
      <c r="BM339" s="111"/>
      <c r="BN339" s="111"/>
      <c r="BO339" s="111"/>
      <c r="BP339" s="111"/>
      <c r="BQ339" s="111"/>
      <c r="BR339" s="111"/>
      <c r="BS339" s="111"/>
      <c r="BT339" s="111"/>
      <c r="BU339" s="111"/>
      <c r="BV339" s="111"/>
      <c r="BW339" s="111"/>
      <c r="BX339" s="111"/>
      <c r="BY339" s="111"/>
      <c r="BZ339" s="111"/>
      <c r="CA339" s="111"/>
      <c r="CB339" s="111"/>
      <c r="CC339" s="111"/>
      <c r="CD339" s="111"/>
      <c r="CE339" s="111"/>
      <c r="CF339" s="111"/>
      <c r="CG339" s="111"/>
      <c r="CH339" s="111"/>
      <c r="CI339" s="111"/>
      <c r="CJ339" s="111"/>
      <c r="CK339" s="111"/>
      <c r="CL339" s="111"/>
      <c r="CM339" s="111"/>
      <c r="CN339" s="111"/>
      <c r="CO339" s="111"/>
      <c r="CP339" s="111"/>
      <c r="CQ339" s="111"/>
      <c r="CR339" s="111"/>
      <c r="CS339" s="111"/>
      <c r="CT339" s="111"/>
      <c r="CU339" s="111"/>
      <c r="CV339" s="111"/>
      <c r="CW339" s="21"/>
      <c r="CX339" s="21"/>
      <c r="CY339" s="21"/>
      <c r="CZ339" s="21"/>
      <c r="DA339" s="21"/>
      <c r="DB339" s="21"/>
    </row>
    <row r="340" spans="1:106" s="111" customFormat="1" ht="11.25" customHeight="1" x14ac:dyDescent="0.3">
      <c r="G340" s="20"/>
    </row>
    <row r="341" spans="1:106" s="111" customFormat="1" ht="11.25" customHeight="1" x14ac:dyDescent="0.3"/>
    <row r="342" spans="1:106" s="111" customFormat="1" ht="11.25" customHeight="1" x14ac:dyDescent="0.3"/>
    <row r="343" spans="1:106" s="111" customFormat="1" ht="11.25" customHeight="1" x14ac:dyDescent="0.3"/>
    <row r="344" spans="1:106" s="111" customFormat="1" ht="13.5" customHeight="1" x14ac:dyDescent="0.3"/>
    <row r="345" spans="1:106" s="111" customFormat="1" ht="13.5" customHeight="1" x14ac:dyDescent="0.3"/>
    <row r="346" spans="1:106" s="111" customFormat="1" ht="13.5" customHeight="1" x14ac:dyDescent="0.3"/>
    <row r="347" spans="1:106" s="111" customFormat="1" ht="13.5" customHeight="1" x14ac:dyDescent="0.3"/>
    <row r="348" spans="1:106" s="111" customFormat="1" ht="13.5" customHeight="1" x14ac:dyDescent="0.3"/>
    <row r="349" spans="1:106" s="111" customFormat="1" ht="13.5" customHeight="1" x14ac:dyDescent="0.3"/>
    <row r="350" spans="1:106" s="111" customFormat="1" ht="13.5" customHeight="1" x14ac:dyDescent="0.3"/>
    <row r="351" spans="1:106" s="111" customFormat="1" ht="13.5" customHeight="1" x14ac:dyDescent="0.3"/>
    <row r="352" spans="1:106" s="111" customFormat="1" ht="13.5" customHeight="1" x14ac:dyDescent="0.3"/>
    <row r="353" s="111" customFormat="1" ht="13.5" customHeight="1" x14ac:dyDescent="0.3"/>
    <row r="354" s="111" customFormat="1" ht="13.5" customHeight="1" x14ac:dyDescent="0.3"/>
    <row r="355" s="111" customFormat="1" ht="13.5" customHeight="1" x14ac:dyDescent="0.3"/>
    <row r="356" s="111" customFormat="1" x14ac:dyDescent="0.3"/>
    <row r="357" s="111" customFormat="1" x14ac:dyDescent="0.3"/>
    <row r="358" s="111" customFormat="1" x14ac:dyDescent="0.3"/>
    <row r="359" s="111" customFormat="1" x14ac:dyDescent="0.3"/>
    <row r="360" s="111" customFormat="1" x14ac:dyDescent="0.3"/>
    <row r="361" s="111" customFormat="1" x14ac:dyDescent="0.3"/>
    <row r="362" s="111" customFormat="1" x14ac:dyDescent="0.3"/>
    <row r="363" s="111" customFormat="1" x14ac:dyDescent="0.3"/>
    <row r="364" s="111" customFormat="1" x14ac:dyDescent="0.3"/>
    <row r="365" s="111" customFormat="1" x14ac:dyDescent="0.3"/>
    <row r="366" s="111" customFormat="1" x14ac:dyDescent="0.3"/>
    <row r="367" s="111" customFormat="1" x14ac:dyDescent="0.3"/>
    <row r="368" s="111" customFormat="1" x14ac:dyDescent="0.3"/>
    <row r="369" spans="1:100" s="111" customFormat="1" x14ac:dyDescent="0.3"/>
    <row r="370" spans="1:100" s="111" customFormat="1" x14ac:dyDescent="0.3"/>
    <row r="371" spans="1:100" s="111" customFormat="1" x14ac:dyDescent="0.3"/>
    <row r="372" spans="1:100" s="111" customFormat="1" x14ac:dyDescent="0.3"/>
    <row r="373" spans="1:100" s="111" customFormat="1" x14ac:dyDescent="0.3"/>
    <row r="374" spans="1:100" s="111" customFormat="1" x14ac:dyDescent="0.3"/>
    <row r="375" spans="1:100" s="111" customFormat="1" x14ac:dyDescent="0.3"/>
    <row r="376" spans="1:100" s="111" customFormat="1" x14ac:dyDescent="0.3"/>
    <row r="377" spans="1:100" s="111" customFormat="1" x14ac:dyDescent="0.3"/>
    <row r="378" spans="1:100" s="111" customFormat="1" x14ac:dyDescent="0.3"/>
    <row r="379" spans="1:100" s="111" customFormat="1" x14ac:dyDescent="0.3">
      <c r="A379" s="20"/>
      <c r="B379" s="20"/>
      <c r="C379" s="20"/>
      <c r="D379" s="20"/>
      <c r="E379" s="20"/>
      <c r="F379" s="20"/>
      <c r="I379" s="20"/>
      <c r="J379" s="20"/>
      <c r="K379" s="20"/>
      <c r="L379" s="20"/>
      <c r="M379" s="20"/>
      <c r="N379" s="78"/>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20"/>
      <c r="BJ379" s="20"/>
      <c r="BK379" s="20"/>
      <c r="BL379" s="20"/>
      <c r="BM379" s="20"/>
      <c r="BN379" s="20"/>
      <c r="BO379" s="20"/>
      <c r="BP379" s="20"/>
      <c r="BQ379" s="20"/>
      <c r="BR379" s="20"/>
      <c r="BS379" s="20"/>
      <c r="BT379" s="20"/>
      <c r="BU379" s="20"/>
      <c r="BV379" s="20"/>
      <c r="BW379" s="20"/>
      <c r="BX379" s="20"/>
      <c r="BY379" s="20"/>
      <c r="BZ379" s="20"/>
      <c r="CA379" s="20"/>
      <c r="CB379" s="20"/>
      <c r="CC379" s="20"/>
      <c r="CD379" s="20"/>
      <c r="CE379" s="20"/>
      <c r="CF379" s="20"/>
      <c r="CG379" s="20"/>
      <c r="CH379" s="20"/>
      <c r="CI379" s="20"/>
      <c r="CJ379" s="20"/>
      <c r="CK379" s="20"/>
      <c r="CL379" s="20"/>
      <c r="CM379" s="20"/>
      <c r="CN379" s="20"/>
      <c r="CO379" s="20"/>
      <c r="CP379" s="20"/>
      <c r="CQ379" s="20"/>
      <c r="CR379" s="20"/>
      <c r="CS379" s="20"/>
      <c r="CT379" s="20"/>
      <c r="CU379" s="20"/>
      <c r="CV379" s="20"/>
    </row>
    <row r="380" spans="1:100" s="111" customFormat="1" x14ac:dyDescent="0.3">
      <c r="A380" s="20"/>
      <c r="B380" s="20"/>
      <c r="C380" s="20"/>
      <c r="D380" s="20"/>
      <c r="E380" s="20"/>
      <c r="F380" s="20"/>
      <c r="I380" s="20"/>
      <c r="J380" s="20"/>
      <c r="K380" s="20"/>
      <c r="L380" s="20"/>
      <c r="M380" s="20"/>
      <c r="N380" s="78"/>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20"/>
      <c r="BJ380" s="20"/>
      <c r="BK380" s="20"/>
      <c r="BL380" s="20"/>
      <c r="BM380" s="20"/>
      <c r="BN380" s="20"/>
      <c r="BO380" s="20"/>
      <c r="BP380" s="20"/>
      <c r="BQ380" s="20"/>
      <c r="BR380" s="20"/>
      <c r="BS380" s="20"/>
      <c r="BT380" s="20"/>
      <c r="BU380" s="20"/>
      <c r="BV380" s="20"/>
      <c r="BW380" s="20"/>
      <c r="BX380" s="20"/>
      <c r="BY380" s="20"/>
      <c r="BZ380" s="20"/>
      <c r="CA380" s="20"/>
      <c r="CB380" s="20"/>
      <c r="CC380" s="20"/>
      <c r="CD380" s="20"/>
      <c r="CE380" s="20"/>
      <c r="CF380" s="20"/>
      <c r="CG380" s="20"/>
      <c r="CH380" s="20"/>
      <c r="CI380" s="20"/>
      <c r="CJ380" s="20"/>
      <c r="CK380" s="20"/>
      <c r="CL380" s="20"/>
      <c r="CM380" s="20"/>
      <c r="CN380" s="20"/>
      <c r="CO380" s="20"/>
      <c r="CP380" s="20"/>
      <c r="CQ380" s="20"/>
      <c r="CR380" s="20"/>
      <c r="CS380" s="20"/>
      <c r="CT380" s="20"/>
      <c r="CU380" s="20"/>
      <c r="CV380" s="20"/>
    </row>
    <row r="381" spans="1:100" s="111" customFormat="1" x14ac:dyDescent="0.3">
      <c r="A381" s="20"/>
      <c r="B381" s="20"/>
      <c r="C381" s="20"/>
      <c r="D381" s="20"/>
      <c r="E381" s="20"/>
      <c r="F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20"/>
      <c r="BH381" s="20"/>
      <c r="BI381" s="20"/>
      <c r="BJ381" s="20"/>
      <c r="BK381" s="20"/>
      <c r="BL381" s="20"/>
      <c r="BM381" s="20"/>
      <c r="BN381" s="20"/>
      <c r="BO381" s="20"/>
      <c r="BP381" s="20"/>
      <c r="BQ381" s="20"/>
      <c r="BR381" s="20"/>
      <c r="BS381" s="20"/>
      <c r="BT381" s="20"/>
      <c r="BU381" s="20"/>
      <c r="BV381" s="20"/>
      <c r="BW381" s="20"/>
      <c r="BX381" s="20"/>
      <c r="BY381" s="20"/>
      <c r="BZ381" s="20"/>
      <c r="CA381" s="20"/>
      <c r="CB381" s="20"/>
      <c r="CC381" s="20"/>
      <c r="CD381" s="20"/>
      <c r="CE381" s="20"/>
      <c r="CF381" s="20"/>
      <c r="CG381" s="20"/>
      <c r="CH381" s="20"/>
      <c r="CI381" s="20"/>
      <c r="CJ381" s="20"/>
      <c r="CK381" s="20"/>
      <c r="CL381" s="20"/>
      <c r="CM381" s="20"/>
      <c r="CN381" s="20"/>
      <c r="CO381" s="20"/>
      <c r="CP381" s="20"/>
      <c r="CQ381" s="20"/>
      <c r="CR381" s="20"/>
      <c r="CS381" s="20"/>
      <c r="CT381" s="20"/>
      <c r="CU381" s="20"/>
      <c r="CV381" s="20"/>
    </row>
    <row r="382" spans="1:100" x14ac:dyDescent="0.3">
      <c r="G382" s="111"/>
      <c r="H382" s="111"/>
    </row>
    <row r="409" spans="2:2" x14ac:dyDescent="0.3">
      <c r="B409" s="22"/>
    </row>
    <row r="440" spans="2:2" x14ac:dyDescent="0.3">
      <c r="B440" s="22"/>
    </row>
    <row r="471" spans="2:2" x14ac:dyDescent="0.3">
      <c r="B471" s="22"/>
    </row>
    <row r="502" spans="2:2" x14ac:dyDescent="0.3">
      <c r="B502" s="22"/>
    </row>
    <row r="524" spans="1:3" x14ac:dyDescent="0.3">
      <c r="A524" s="20" t="e">
        <f>IF(AND(NOT(Budget!#REF!=""),Budget!#REF!=""),parameters!$C$502,"")</f>
        <v>#REF!</v>
      </c>
      <c r="C524" s="20" t="e">
        <f t="shared" ref="C524:C532" si="6">IF(NOT(A524=""),"issue","")</f>
        <v>#REF!</v>
      </c>
    </row>
    <row r="525" spans="1:3" x14ac:dyDescent="0.3">
      <c r="A525" s="20" t="e">
        <f>IF(AND(NOT(Budget!#REF!=""),Budget!#REF!=""),parameters!$C$502,"")</f>
        <v>#REF!</v>
      </c>
      <c r="C525" s="20" t="e">
        <f t="shared" si="6"/>
        <v>#REF!</v>
      </c>
    </row>
    <row r="526" spans="1:3" collapsed="1" x14ac:dyDescent="0.3">
      <c r="A526" s="20" t="e">
        <f>IF(AND(NOT(Budget!#REF!=""),Budget!#REF!=""),parameters!$C$502,"")</f>
        <v>#REF!</v>
      </c>
      <c r="C526" s="20" t="e">
        <f t="shared" si="6"/>
        <v>#REF!</v>
      </c>
    </row>
    <row r="527" spans="1:3" hidden="1" outlineLevel="1" x14ac:dyDescent="0.3">
      <c r="A527" s="20" t="e">
        <f>IF(AND(NOT(Budget!#REF!=""),Budget!#REF!=""),parameters!$C$502,"")</f>
        <v>#REF!</v>
      </c>
      <c r="C527" s="20" t="e">
        <f t="shared" si="6"/>
        <v>#REF!</v>
      </c>
    </row>
    <row r="528" spans="1:3" hidden="1" outlineLevel="1" x14ac:dyDescent="0.3">
      <c r="A528" s="20" t="e">
        <f>IF(AND(NOT(Budget!#REF!=""),Budget!#REF!=""),parameters!$C$502,"")</f>
        <v>#REF!</v>
      </c>
      <c r="C528" s="20" t="e">
        <f t="shared" si="6"/>
        <v>#REF!</v>
      </c>
    </row>
    <row r="529" spans="1:3" hidden="1" outlineLevel="1" x14ac:dyDescent="0.3">
      <c r="A529" s="20" t="e">
        <f>IF(AND(NOT(Budget!#REF!=""),Budget!#REF!=""),parameters!$C$502,"")</f>
        <v>#REF!</v>
      </c>
      <c r="C529" s="20" t="e">
        <f t="shared" si="6"/>
        <v>#REF!</v>
      </c>
    </row>
    <row r="530" spans="1:3" hidden="1" outlineLevel="1" x14ac:dyDescent="0.3">
      <c r="A530" s="20" t="e">
        <f>IF(AND(NOT(Budget!#REF!=""),Budget!#REF!=""),parameters!$C$502,"")</f>
        <v>#REF!</v>
      </c>
      <c r="C530" s="20" t="e">
        <f t="shared" si="6"/>
        <v>#REF!</v>
      </c>
    </row>
    <row r="531" spans="1:3" hidden="1" outlineLevel="1" x14ac:dyDescent="0.3">
      <c r="A531" s="20" t="e">
        <f>IF(AND(NOT(Budget!#REF!=""),Budget!#REF!=""),parameters!$C$502,"")</f>
        <v>#REF!</v>
      </c>
      <c r="C531" s="20" t="e">
        <f t="shared" si="6"/>
        <v>#REF!</v>
      </c>
    </row>
    <row r="532" spans="1:3" hidden="1" outlineLevel="1" x14ac:dyDescent="0.3">
      <c r="A532" s="20" t="e">
        <f>IF(AND(NOT(Budget!#REF!=""),Budget!#REF!=""),parameters!$C$502,"")</f>
        <v>#REF!</v>
      </c>
      <c r="C532" s="20" t="e">
        <f t="shared" si="6"/>
        <v>#REF!</v>
      </c>
    </row>
    <row r="533" spans="1:3" hidden="1" outlineLevel="1" x14ac:dyDescent="0.3">
      <c r="B533" s="22"/>
    </row>
    <row r="534" spans="1:3" hidden="1" outlineLevel="1" x14ac:dyDescent="0.3"/>
    <row r="535" spans="1:3" hidden="1" outlineLevel="1" x14ac:dyDescent="0.3"/>
    <row r="536" spans="1:3" collapsed="1" x14ac:dyDescent="0.3"/>
  </sheetData>
  <sheetProtection algorithmName="SHA-512" hashValue="mtiimRwusC3VzdJdLFITFgxOQ9Gjhymr2wH4CcCOOXTT7IDw088D+kDJi2C62LSvenKlr35cixv7ZGYrSYVPQw==" saltValue="aSXXUzFlpyK/LxcG4K342A==" spinCount="100000" sheet="1" selectLockedCells="1" selectUnlockedCells="1"/>
  <sortState xmlns:xlrd2="http://schemas.microsoft.com/office/spreadsheetml/2017/richdata2" ref="G127:I289">
    <sortCondition ref="I127:I289"/>
  </sortState>
  <hyperlinks>
    <hyperlink ref="A123" r:id="rId1" xr:uid="{00000000-0004-0000-0300-000000000000}"/>
    <hyperlink ref="A122" r:id="rId2" xr:uid="{00000000-0004-0000-0300-000001000000}"/>
  </hyperlinks>
  <pageMargins left="0.7" right="0.7" top="0.75" bottom="0.75" header="0.3" footer="0.3"/>
  <pageSetup paperSize="9" orientation="portrait" r:id="rId3"/>
  <tableParts count="8">
    <tablePart r:id="rId4"/>
    <tablePart r:id="rId5"/>
    <tablePart r:id="rId6"/>
    <tablePart r:id="rId7"/>
    <tablePart r:id="rId8"/>
    <tablePart r:id="rId9"/>
    <tablePart r:id="rId10"/>
    <tablePart r:id="rId1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21">
    <outlinePr summaryBelow="0"/>
  </sheetPr>
  <dimension ref="A2:DH336"/>
  <sheetViews>
    <sheetView topLeftCell="A307" zoomScale="107" workbookViewId="0">
      <selection activeCell="C324" sqref="C324"/>
    </sheetView>
  </sheetViews>
  <sheetFormatPr defaultColWidth="9.21875" defaultRowHeight="14.4" outlineLevelRow="2" x14ac:dyDescent="0.3"/>
  <cols>
    <col min="1" max="1" width="47.5546875" style="111" customWidth="1"/>
    <col min="2" max="2" width="36.21875" style="111" customWidth="1"/>
    <col min="3" max="3" width="35.109375" style="111" customWidth="1"/>
    <col min="4" max="4" width="33.21875" style="111" customWidth="1"/>
    <col min="5" max="5" width="31.77734375" style="111" customWidth="1"/>
    <col min="6" max="6" width="32.77734375" style="111" customWidth="1"/>
    <col min="7" max="7" width="28.21875" style="111" customWidth="1"/>
    <col min="8" max="8" width="14.44140625" style="111" customWidth="1"/>
    <col min="9" max="9" width="11.21875" style="111" customWidth="1"/>
    <col min="10" max="10" width="23" style="111" customWidth="1"/>
    <col min="11" max="11" width="10" style="111" customWidth="1"/>
    <col min="12" max="12" width="14.77734375" style="111" customWidth="1"/>
    <col min="13" max="13" width="11.77734375" style="111" customWidth="1"/>
    <col min="14" max="14" width="10.44140625" style="111" customWidth="1"/>
    <col min="15" max="15" width="13.5546875" style="111" bestFit="1" customWidth="1"/>
    <col min="16" max="17" width="27.44140625" style="111" customWidth="1"/>
    <col min="18" max="18" width="9.44140625" style="111" bestFit="1" customWidth="1"/>
    <col min="19" max="20" width="9.21875" style="111"/>
    <col min="21" max="21" width="14.21875" style="111" customWidth="1"/>
    <col min="22" max="22" width="14.44140625" style="111" customWidth="1"/>
    <col min="23" max="23" width="13.5546875" style="111" bestFit="1" customWidth="1"/>
    <col min="24" max="24" width="42.77734375" style="111" customWidth="1"/>
    <col min="25" max="25" width="24.5546875" style="111" customWidth="1"/>
    <col min="26" max="26" width="19.21875" style="111" customWidth="1"/>
    <col min="27" max="16384" width="9.21875" style="111"/>
  </cols>
  <sheetData>
    <row r="2" spans="1:107" ht="18" x14ac:dyDescent="0.3">
      <c r="A2" s="58" t="s">
        <v>526</v>
      </c>
      <c r="B2" s="20"/>
    </row>
    <row r="3" spans="1:107" x14ac:dyDescent="0.3">
      <c r="B3" s="126"/>
    </row>
    <row r="6" spans="1:107" s="20" customFormat="1" x14ac:dyDescent="0.3">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CP6" s="21"/>
      <c r="CQ6" s="21"/>
      <c r="CR6" s="21"/>
      <c r="CS6" s="21"/>
      <c r="CT6" s="21"/>
      <c r="CU6" s="21"/>
      <c r="CV6" s="21"/>
      <c r="CW6" s="21"/>
      <c r="CX6" s="21"/>
    </row>
    <row r="7" spans="1:107" s="20" customFormat="1" ht="11.25" customHeight="1" x14ac:dyDescent="0.3">
      <c r="A7" s="58"/>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CU7" s="21"/>
      <c r="CV7" s="21"/>
      <c r="CW7" s="21"/>
      <c r="CX7" s="21"/>
      <c r="CY7" s="21"/>
      <c r="CZ7" s="21"/>
      <c r="DA7" s="21"/>
      <c r="DB7" s="21"/>
      <c r="DC7" s="21"/>
    </row>
    <row r="8" spans="1:107" s="20" customFormat="1" ht="13.05" customHeight="1" x14ac:dyDescent="0.3">
      <c r="B8" s="22" t="s">
        <v>720</v>
      </c>
      <c r="G8" s="111"/>
      <c r="H8" s="116" t="s">
        <v>738</v>
      </c>
      <c r="I8" s="111"/>
      <c r="J8" s="111"/>
      <c r="K8" s="111"/>
      <c r="L8" s="111"/>
      <c r="M8" s="111"/>
      <c r="N8" s="111"/>
      <c r="O8" s="111"/>
      <c r="P8" s="22" t="s">
        <v>817</v>
      </c>
      <c r="R8" s="111"/>
      <c r="S8" s="111"/>
      <c r="T8" s="116" t="s">
        <v>830</v>
      </c>
      <c r="U8" s="111"/>
      <c r="V8" s="111"/>
      <c r="W8" s="111"/>
      <c r="X8" s="111"/>
      <c r="Y8" s="111"/>
      <c r="Z8" s="111"/>
      <c r="AA8" s="111"/>
      <c r="AB8" s="111"/>
      <c r="AC8" s="111"/>
      <c r="AD8" s="111"/>
      <c r="CR8" s="21"/>
      <c r="CS8" s="21"/>
      <c r="CT8" s="21"/>
      <c r="CU8" s="21"/>
      <c r="CV8" s="21"/>
      <c r="CW8" s="21"/>
      <c r="CX8" s="21"/>
      <c r="CY8" s="21"/>
      <c r="CZ8" s="21"/>
    </row>
    <row r="9" spans="1:107" s="20" customFormat="1" ht="13.05" customHeight="1" x14ac:dyDescent="0.3">
      <c r="B9" s="22" t="s">
        <v>169</v>
      </c>
      <c r="D9" s="111"/>
      <c r="E9" s="111"/>
      <c r="G9" s="111"/>
      <c r="H9" s="116" t="s">
        <v>169</v>
      </c>
      <c r="I9" s="111"/>
      <c r="J9" s="111"/>
      <c r="K9" s="111"/>
      <c r="L9" s="111"/>
      <c r="M9" s="111"/>
      <c r="N9" s="111"/>
      <c r="O9" s="111"/>
      <c r="P9" s="111"/>
      <c r="Q9" s="111"/>
      <c r="R9" s="111"/>
      <c r="S9" s="111"/>
      <c r="T9" s="111"/>
      <c r="U9" s="111"/>
      <c r="V9" s="111"/>
      <c r="W9" s="111"/>
      <c r="X9" s="111"/>
      <c r="Y9" s="111"/>
      <c r="Z9" s="111"/>
      <c r="AA9" s="111"/>
      <c r="AB9" s="111"/>
      <c r="CP9" s="21"/>
      <c r="CQ9" s="21"/>
      <c r="CR9" s="21"/>
      <c r="CS9" s="21"/>
      <c r="CT9" s="21"/>
      <c r="CU9" s="21"/>
      <c r="CV9" s="21"/>
      <c r="CW9" s="21"/>
      <c r="CX9" s="21"/>
    </row>
    <row r="10" spans="1:107" s="20" customFormat="1" ht="11.25" customHeight="1" thickBot="1" x14ac:dyDescent="0.35">
      <c r="B10" s="22" t="s">
        <v>828</v>
      </c>
      <c r="C10" s="20" t="s">
        <v>721</v>
      </c>
      <c r="D10" s="111" t="s">
        <v>722</v>
      </c>
      <c r="E10" s="111" t="s">
        <v>825</v>
      </c>
      <c r="F10" s="111" t="s">
        <v>723</v>
      </c>
      <c r="H10" s="116" t="s">
        <v>828</v>
      </c>
      <c r="I10" s="111" t="s">
        <v>32</v>
      </c>
      <c r="J10" s="111" t="s">
        <v>33</v>
      </c>
      <c r="K10" s="111" t="s">
        <v>34</v>
      </c>
      <c r="L10" s="111" t="s">
        <v>571</v>
      </c>
      <c r="M10" s="111" t="s">
        <v>622</v>
      </c>
      <c r="N10" s="111" t="s">
        <v>10</v>
      </c>
      <c r="O10" s="111"/>
      <c r="P10" s="116" t="s">
        <v>565</v>
      </c>
      <c r="Q10" s="116" t="s">
        <v>567</v>
      </c>
      <c r="R10" s="111"/>
      <c r="S10" s="111"/>
      <c r="T10" s="116" t="s">
        <v>828</v>
      </c>
      <c r="U10" s="111" t="s">
        <v>622</v>
      </c>
      <c r="V10" s="111" t="s">
        <v>10</v>
      </c>
      <c r="W10" s="111" t="s">
        <v>831</v>
      </c>
      <c r="X10" s="111"/>
      <c r="Y10" s="111"/>
      <c r="Z10" s="111"/>
      <c r="AA10" s="111"/>
      <c r="AB10" s="111"/>
      <c r="CL10" s="21"/>
      <c r="CM10" s="21"/>
      <c r="CN10" s="21"/>
      <c r="CO10" s="21"/>
      <c r="CP10" s="21"/>
      <c r="CQ10" s="21"/>
      <c r="CR10" s="21"/>
      <c r="CS10" s="21"/>
      <c r="CT10" s="21"/>
    </row>
    <row r="11" spans="1:107" s="20" customFormat="1" ht="11.25" customHeight="1" x14ac:dyDescent="0.3">
      <c r="B11" s="83" t="str">
        <f ca="1">IF(IFERROR(MATCH("*",OFFSET(Budget!$A$24,B10,0,ROWS(Personnel[]),1),0)+B10,999)&lt;ROWS(Personnel[]),IFERROR(MATCH("*",OFFSET(Budget!$A$24,B10,0,ROWS(Personnel[]),1),0)+B10,999),"")</f>
        <v/>
      </c>
      <c r="C11" s="256" t="str">
        <f ca="1">IFERROR(INDEX(Personnel[Category],B11),"")</f>
        <v/>
      </c>
      <c r="D11" s="256" t="str">
        <f ca="1">IFERROR(INDEX(Personnel[Organisation type],B11),"")</f>
        <v/>
      </c>
      <c r="E11" s="167" t="str">
        <f ca="1">IF(B11="","",IF(_xlfn.IFNA(MATCH("*Postdoc*",C11,0)&gt;0,FALSE),IF(AND(INDEX(Personnel[FTE],B11)&gt;=pers_PD_min_FTE,INDEX(Personnel[Months],B11)&gt;=pers_PD_min_months),TRUE,FALSE),TRUE))</f>
        <v/>
      </c>
      <c r="F11" s="85" t="str">
        <f t="shared" ref="F11:F20" ca="1" si="0">IF(B11="","",_xlfn.IFNA(IF(AND(OR(_xlfn.IFNA(MATCH("*PhD*",C11,0)&gt;0,FALSE),_xlfn.IFNA(MATCH("*EngD*",C11,0)&gt;0,FALSE),_xlfn.IFNA(MATCH("*Postdoc*",C11,0)&gt;0,FALSE),_xlfn.IFNA(MATCH("*Physician*",C11,0)&gt;0,FALSE)),E11=TRUE,NOT(D11=pers_int_listname)),"yes","no"),"no"))</f>
        <v/>
      </c>
      <c r="G11" s="111"/>
      <c r="H11" s="167" t="str" cm="1">
        <f t="array" aca="1" ref="H11" ca="1">IFERROR(_xlfn.IFNA(INDEX($B$11:$E$20,H10+MATCH("yes",OFFSET($F$11,H10,0,ROWS(Personnel[])-H10,1),0),1),""),"")</f>
        <v/>
      </c>
      <c r="I11" s="111" t="str">
        <f ca="1">IFERROR(INDEX(Personnel[Category],H11),"")</f>
        <v/>
      </c>
      <c r="J11" s="111" t="str">
        <f ca="1">IFERROR(INDEX(Personnel[FTE],H11),"")</f>
        <v/>
      </c>
      <c r="K11" s="111" t="str">
        <f ca="1">IFERROR(INDEX(Personnel[Months],H11),"")</f>
        <v/>
      </c>
      <c r="L11" s="111" t="str">
        <f ca="1">SUBSTITUTE(IFERROR(INDEX(Personnel[Organisation type],H11),""),0,"")</f>
        <v/>
      </c>
      <c r="M11" s="111" t="str">
        <f ca="1">SUBSTITUTE(IFERROR(INDEX(Personnel[Name organisation],H11),""),0,"")</f>
        <v/>
      </c>
      <c r="N11" s="111" t="str">
        <f ca="1">IF(MIN(IFERROR(MATCH(pers_int_listname,OFFSET(Budget!$F$25,F10,0,ROWS(Personnel[])-F10,1),0)+F10,999),IFERROR(MATCH("*PhD*",OFFSET(Budget!$A$24,F10,0,ROWS(Personnel[])-F10,1),0)+F10,999),IFERROR(MATCH("*EngD*",OFFSET(Budget!$A$24,F10,0,ROWS(Personnel[])-F10,1),0)+F10,999))&lt;ROWS(Personnel[]),MIN(IFERROR(MATCH("*PostDoc*",OFFSET(Budget!$A$24,F10,0,ROWS(Personnel[])-F10,1),0)+F10,999),IFERROR(MATCH("*PhD*",OFFSET(Budget!$A$24,F10,0,ROWS(Personnel[])-F10,1),0)+F10,999),IFERROR(MATCH("*EngD*",OFFSET(Budget!$A$24,F10,0,ROWS(Personnel[])-F10,1),0)+F10,999)),"")</f>
        <v/>
      </c>
      <c r="O11" s="111"/>
      <c r="P11" s="274" t="str">
        <f>IF(ROW(E1132)-ROW($E$1132)&lt;ROWS(inkind[]),IFERROR(IF(INDEX(list_cofunders[private?],MATCH(Budget!F132,list_cofunders[list cofunders],0),1)="yes",Budget!H132,""),""),"")</f>
        <v/>
      </c>
      <c r="Q11" s="274" t="str">
        <f>IF(ROW(E1235)-ROW($E$1235)&lt;ROWS(incash[]),IFERROR(IF(INDEX(list_cofunders[private?],MATCH(Budget!F145,list_cofunders[list cofunders],0),1)="yes",Budget!H145,""),""),"")</f>
        <v/>
      </c>
      <c r="R11" s="111" t="str">
        <f>IFERROR(INDEX(Personnel[FTE],P11),"")</f>
        <v/>
      </c>
      <c r="S11" s="111"/>
      <c r="T11" s="167" t="str">
        <f ca="1">IF(IFERROR(MATCH(pers_int_listname,OFFSET(Budget!$F$24,T10,0,ROWS(Personnel[]),1),0)+T10,999)&lt;ROWS(Personnel[]),IFERROR(MATCH(pers_int_listname,OFFSET(Budget!$F$24,T10,0,ROWS(Personnel[]),1),0)+T10,999),"")</f>
        <v/>
      </c>
      <c r="U11" s="111" t="str">
        <f ca="1">IFERROR(INDEX(Personnel[Name organisation],T11),"")</f>
        <v/>
      </c>
      <c r="V11" s="274" t="str">
        <f ca="1">IFERROR(INDEX(Personnel[Amount],T11),"")</f>
        <v/>
      </c>
      <c r="W11" s="274" t="str">
        <f ca="1">IF(SUMIF(pers_abr_amount_org[Name org],pers_abr_amount_org[[#This Row],[Name org]],pers_abr_amount_org[Amount])&gt;0,SUMIF(pers_abr_amount_org[Name org],pers_abr_amount_org[[#This Row],[Name org]],pers_abr_amount_org[Amount]),"")</f>
        <v/>
      </c>
      <c r="X11" s="111"/>
      <c r="Y11" s="167"/>
      <c r="Z11" s="111"/>
      <c r="AA11" s="274"/>
      <c r="AB11" s="111"/>
      <c r="CN11" s="21"/>
      <c r="CO11" s="21"/>
      <c r="CP11" s="21"/>
      <c r="CQ11" s="21"/>
      <c r="CR11" s="21"/>
      <c r="CS11" s="21"/>
      <c r="CT11" s="21"/>
      <c r="CU11" s="21"/>
      <c r="CV11" s="21"/>
    </row>
    <row r="12" spans="1:107" s="20" customFormat="1" ht="11.25" customHeight="1" outlineLevel="1" x14ac:dyDescent="0.3">
      <c r="B12" s="84" t="str">
        <f ca="1">IF(IFERROR(MATCH("*",OFFSET(Budget!$A$24,B11,0,ROWS(Personnel[]),1),0)+B11,999)&lt;ROWS(Personnel[]),IFERROR(MATCH("*",OFFSET(Budget!$A$24,B11,0,ROWS(Personnel[]),1),0)+B11,999),"")</f>
        <v/>
      </c>
      <c r="C12" s="167" t="str">
        <f ca="1">IFERROR(INDEX(Personnel[Category],B12),"")</f>
        <v/>
      </c>
      <c r="D12" s="167" t="str">
        <f ca="1">IFERROR(INDEX(Personnel[Organisation type],B12),"")</f>
        <v/>
      </c>
      <c r="E12" s="167" t="str">
        <f ca="1">IF(B12="","",IF(_xlfn.IFNA(MATCH("*Postdoc*",C12,0)&gt;0,FALSE),IF(AND(INDEX(Personnel[FTE],B12)&gt;=pers_PD_min_FTE,INDEX(Personnel[Months],B12)&gt;=pers_PD_min_months),TRUE,FALSE),TRUE))</f>
        <v/>
      </c>
      <c r="F12" s="261" t="str">
        <f t="shared" ca="1" si="0"/>
        <v/>
      </c>
      <c r="G12" s="111"/>
      <c r="H12" s="167" t="str" cm="1">
        <f t="array" aca="1" ref="H12" ca="1">IFERROR(_xlfn.IFNA(INDEX($B$11:$E$20,H11+MATCH("yes",OFFSET($F$11,H11,0,ROWS(Personnel[])-H11,1),0),1),""),"")</f>
        <v/>
      </c>
      <c r="I12" s="111" t="str">
        <f ca="1">IFERROR(INDEX(Personnel[Category],H12),"")</f>
        <v/>
      </c>
      <c r="J12" s="111" t="str">
        <f ca="1">IFERROR(INDEX(Personnel[FTE],H12),"")</f>
        <v/>
      </c>
      <c r="K12" s="111" t="str">
        <f ca="1">IFERROR(INDEX(Personnel[Months],H12),"")</f>
        <v/>
      </c>
      <c r="L12" s="111" t="str">
        <f ca="1">SUBSTITUTE(IFERROR(INDEX(Personnel[Organisation type],H12),""),0,"")</f>
        <v/>
      </c>
      <c r="M12" s="111" t="str">
        <f ca="1">SUBSTITUTE(IFERROR(INDEX(Personnel[Name organisation],H12),""),0,"")</f>
        <v/>
      </c>
      <c r="N12" s="111"/>
      <c r="O12" s="111"/>
      <c r="P12" s="274" t="str">
        <f>IF(ROW(E1133)-ROW($E$1132)&lt;ROWS(inkind[]),IFERROR(IF(INDEX(list_cofunders[private?],MATCH(Budget!F133,list_cofunders[list cofunders],0),1)="yes",Budget!H133,""),""),"")</f>
        <v/>
      </c>
      <c r="Q12" s="274" t="str">
        <f>IF(ROW(E1236)-ROW($E$1235)&lt;ROWS(incash[]),IFERROR(IF(INDEX(list_cofunders[private?],MATCH(Budget!F146,list_cofunders[list cofunders],0),1)="yes",Budget!H146,""),""),"")</f>
        <v/>
      </c>
      <c r="R12" s="111" t="str">
        <f>IFERROR(INDEX(Personnel[FTE],P12),"")</f>
        <v/>
      </c>
      <c r="S12" s="111"/>
      <c r="T12" s="167" t="str">
        <f ca="1">IF(IFERROR(MATCH(pers_int_listname,OFFSET(Budget!$F$24,T11,0,ROWS(Personnel[]),1),0)+T11,999)&lt;ROWS(Personnel[]),IFERROR(MATCH(pers_int_listname,OFFSET(Budget!$F$24,T11,0,ROWS(Personnel[]),1),0)+T11,999),"")</f>
        <v/>
      </c>
      <c r="U12" s="111" t="str">
        <f ca="1">IFERROR(INDEX(Personnel[Name organisation],T12),"")</f>
        <v/>
      </c>
      <c r="V12" s="274" t="str">
        <f ca="1">IFERROR(INDEX(Personnel[Amount],T12),"")</f>
        <v/>
      </c>
      <c r="W12" s="274" t="str">
        <f ca="1">IF(SUMIF(pers_abr_amount_org[Name org],pers_abr_amount_org[[#This Row],[Name org]],pers_abr_amount_org[Amount])&gt;0,SUMIF(pers_abr_amount_org[Name org],pers_abr_amount_org[[#This Row],[Name org]],pers_abr_amount_org[Amount]),"")</f>
        <v/>
      </c>
      <c r="X12" s="111"/>
      <c r="Y12" s="167"/>
      <c r="Z12" s="111"/>
      <c r="AA12" s="274"/>
      <c r="AB12" s="111"/>
      <c r="CN12" s="21"/>
      <c r="CO12" s="21"/>
      <c r="CP12" s="21"/>
      <c r="CQ12" s="21"/>
      <c r="CR12" s="21"/>
      <c r="CS12" s="21"/>
      <c r="CT12" s="21"/>
      <c r="CU12" s="21"/>
      <c r="CV12" s="21"/>
    </row>
    <row r="13" spans="1:107" s="20" customFormat="1" ht="11.25" customHeight="1" outlineLevel="1" x14ac:dyDescent="0.3">
      <c r="B13" s="84" t="str">
        <f ca="1">IF(IFERROR(MATCH("*",OFFSET(Budget!$A$24,B12,0,ROWS(Personnel[]),1),0)+B12,999)&lt;ROWS(Personnel[]),IFERROR(MATCH("*",OFFSET(Budget!$A$24,B12,0,ROWS(Personnel[]),1),0)+B12,999),"")</f>
        <v/>
      </c>
      <c r="C13" s="167" t="str">
        <f ca="1">IFERROR(INDEX(Personnel[Category],B13),"")</f>
        <v/>
      </c>
      <c r="D13" s="167" t="str">
        <f ca="1">IFERROR(INDEX(Personnel[Organisation type],B13),"")</f>
        <v/>
      </c>
      <c r="E13" s="167" t="str">
        <f ca="1">IF(B13="","",IF(_xlfn.IFNA(MATCH("*Postdoc*",C13,0)&gt;0,FALSE),IF(AND(INDEX(Personnel[FTE],B13)&gt;=pers_PD_min_FTE,INDEX(Personnel[Months],B13)&gt;=pers_PD_min_months),TRUE,FALSE),TRUE))</f>
        <v/>
      </c>
      <c r="F13" s="261" t="str">
        <f t="shared" ca="1" si="0"/>
        <v/>
      </c>
      <c r="G13" s="111"/>
      <c r="H13" s="167" t="str" cm="1">
        <f t="array" aca="1" ref="H13" ca="1">IFERROR(_xlfn.IFNA(INDEX($B$11:$E$20,H12+MATCH("yes",OFFSET($F$11,H12,0,ROWS(Personnel[])-H12,1),0),1),""),"")</f>
        <v/>
      </c>
      <c r="I13" s="111" t="str">
        <f ca="1">IFERROR(INDEX(Personnel[Category],H13),"")</f>
        <v/>
      </c>
      <c r="J13" s="111" t="str">
        <f ca="1">IFERROR(INDEX(Personnel[FTE],H13),"")</f>
        <v/>
      </c>
      <c r="K13" s="111" t="str">
        <f ca="1">IFERROR(INDEX(Personnel[Months],H13),"")</f>
        <v/>
      </c>
      <c r="L13" s="111" t="str">
        <f ca="1">SUBSTITUTE(IFERROR(INDEX(Personnel[Organisation type],H13),""),0,"")</f>
        <v/>
      </c>
      <c r="M13" s="111" t="str">
        <f ca="1">SUBSTITUTE(IFERROR(INDEX(Personnel[Name organisation],H13),""),0,"")</f>
        <v/>
      </c>
      <c r="N13" s="111"/>
      <c r="O13" s="111"/>
      <c r="P13" s="274" t="str">
        <f>IF(ROW(E1134)-ROW($E$1132)&lt;ROWS(inkind[]),IFERROR(IF(INDEX(list_cofunders[private?],MATCH(Budget!F134,list_cofunders[list cofunders],0),1)="yes",Budget!H134,""),""),"")</f>
        <v/>
      </c>
      <c r="Q13" s="274" t="str">
        <f>IF(ROW(E1237)-ROW($E$1235)&lt;ROWS(incash[]),IFERROR(IF(INDEX(list_cofunders[private?],MATCH(Budget!F147,list_cofunders[list cofunders],0),1)="yes",Budget!H147,""),""),"")</f>
        <v/>
      </c>
      <c r="R13" s="111" t="str">
        <f>IFERROR(INDEX(Personnel[FTE],P13),"")</f>
        <v/>
      </c>
      <c r="S13" s="111"/>
      <c r="T13" s="167" t="str">
        <f ca="1">IF(IFERROR(MATCH(pers_int_listname,OFFSET(Budget!$F$24,T12,0,ROWS(Personnel[]),1),0)+T12,999)&lt;ROWS(Personnel[]),IFERROR(MATCH(pers_int_listname,OFFSET(Budget!$F$24,T12,0,ROWS(Personnel[]),1),0)+T12,999),"")</f>
        <v/>
      </c>
      <c r="U13" s="111" t="str">
        <f ca="1">IFERROR(INDEX(Personnel[Name organisation],T13),"")</f>
        <v/>
      </c>
      <c r="V13" s="274" t="str">
        <f ca="1">IFERROR(INDEX(Personnel[Amount],T13),"")</f>
        <v/>
      </c>
      <c r="W13" s="274" t="str">
        <f ca="1">IF(SUMIF(pers_abr_amount_org[Name org],pers_abr_amount_org[[#This Row],[Name org]],pers_abr_amount_org[Amount])&gt;0,SUMIF(pers_abr_amount_org[Name org],pers_abr_amount_org[[#This Row],[Name org]],pers_abr_amount_org[Amount]),"")</f>
        <v/>
      </c>
      <c r="X13" s="111"/>
      <c r="Y13" s="167"/>
      <c r="Z13" s="111"/>
      <c r="AA13" s="274"/>
      <c r="AB13" s="111"/>
      <c r="CN13" s="21"/>
      <c r="CO13" s="21"/>
      <c r="CP13" s="21"/>
      <c r="CQ13" s="21"/>
      <c r="CR13" s="21"/>
      <c r="CS13" s="21"/>
      <c r="CT13" s="21"/>
      <c r="CU13" s="21"/>
      <c r="CV13" s="21"/>
    </row>
    <row r="14" spans="1:107" s="20" customFormat="1" ht="11.25" customHeight="1" outlineLevel="1" x14ac:dyDescent="0.3">
      <c r="B14" s="84" t="str">
        <f ca="1">IF(IFERROR(MATCH("*",OFFSET(Budget!$A$24,B13,0,ROWS(Personnel[]),1),0)+B13,999)&lt;ROWS(Personnel[]),IFERROR(MATCH("*",OFFSET(Budget!$A$24,B13,0,ROWS(Personnel[]),1),0)+B13,999),"")</f>
        <v/>
      </c>
      <c r="C14" s="167" t="str">
        <f ca="1">IFERROR(INDEX(Personnel[Category],B14),"")</f>
        <v/>
      </c>
      <c r="D14" s="167" t="str">
        <f ca="1">IFERROR(INDEX(Personnel[Organisation type],B14),"")</f>
        <v/>
      </c>
      <c r="E14" s="167" t="str">
        <f ca="1">IF(B14="","",IF(_xlfn.IFNA(MATCH("*Postdoc*",C14,0)&gt;0,FALSE),IF(AND(INDEX(Personnel[FTE],B14)&gt;=pers_PD_min_FTE,INDEX(Personnel[Months],B14)&gt;=pers_PD_min_months),TRUE,FALSE),TRUE))</f>
        <v/>
      </c>
      <c r="F14" s="261" t="str">
        <f t="shared" ca="1" si="0"/>
        <v/>
      </c>
      <c r="G14" s="111"/>
      <c r="H14" s="167" t="str" cm="1">
        <f t="array" aca="1" ref="H14" ca="1">IFERROR(_xlfn.IFNA(INDEX($B$11:$E$20,H13+MATCH("yes",OFFSET($F$11,H13,0,ROWS(Personnel[])-H13,1),0),1),""),"")</f>
        <v/>
      </c>
      <c r="I14" s="111" t="str">
        <f ca="1">IFERROR(INDEX(Personnel[Category],H14),"")</f>
        <v/>
      </c>
      <c r="J14" s="111" t="str">
        <f ca="1">IFERROR(INDEX(Personnel[FTE],H14),"")</f>
        <v/>
      </c>
      <c r="K14" s="111" t="str">
        <f ca="1">IFERROR(INDEX(Personnel[Months],H14),"")</f>
        <v/>
      </c>
      <c r="L14" s="111" t="str">
        <f ca="1">SUBSTITUTE(IFERROR(INDEX(Personnel[Organisation type],H14),""),0,"")</f>
        <v/>
      </c>
      <c r="M14" s="111" t="str">
        <f ca="1">SUBSTITUTE(IFERROR(INDEX(Personnel[Name organisation],H14),""),0,"")</f>
        <v/>
      </c>
      <c r="N14" s="111"/>
      <c r="O14" s="111"/>
      <c r="P14" s="274" t="str">
        <f>IF(ROW(E1135)-ROW($E$1132)&lt;ROWS(inkind[]),IFERROR(IF(INDEX(list_cofunders[private?],MATCH(Budget!F135,list_cofunders[list cofunders],0),1)="yes",Budget!H135,""),""),"")</f>
        <v/>
      </c>
      <c r="Q14" s="274" t="str">
        <f>IF(ROW(E1238)-ROW($E$1235)&lt;ROWS(incash[]),IFERROR(IF(INDEX(list_cofunders[private?],MATCH(Budget!F148,list_cofunders[list cofunders],0),1)="yes",Budget!H148,""),""),"")</f>
        <v/>
      </c>
      <c r="R14" s="111" t="str">
        <f>IFERROR(INDEX(Personnel[FTE],P14),"")</f>
        <v/>
      </c>
      <c r="S14" s="111"/>
      <c r="T14" s="167" t="str">
        <f ca="1">IF(IFERROR(MATCH(pers_int_listname,OFFSET(Budget!$F$24,T13,0,ROWS(Personnel[]),1),0)+T13,999)&lt;ROWS(Personnel[]),IFERROR(MATCH(pers_int_listname,OFFSET(Budget!$F$24,T13,0,ROWS(Personnel[]),1),0)+T13,999),"")</f>
        <v/>
      </c>
      <c r="U14" s="111" t="str">
        <f ca="1">IFERROR(INDEX(Personnel[Name organisation],T14),"")</f>
        <v/>
      </c>
      <c r="V14" s="274" t="str">
        <f ca="1">IFERROR(INDEX(Personnel[Amount],T14),"")</f>
        <v/>
      </c>
      <c r="W14" s="274" t="str">
        <f ca="1">IF(SUMIF(pers_abr_amount_org[Name org],pers_abr_amount_org[[#This Row],[Name org]],pers_abr_amount_org[Amount])&gt;0,SUMIF(pers_abr_amount_org[Name org],pers_abr_amount_org[[#This Row],[Name org]],pers_abr_amount_org[Amount]),"")</f>
        <v/>
      </c>
      <c r="X14" s="111"/>
      <c r="Y14" s="167"/>
      <c r="Z14" s="111"/>
      <c r="AA14" s="274"/>
      <c r="AB14" s="111"/>
      <c r="CN14" s="21"/>
      <c r="CO14" s="21"/>
      <c r="CP14" s="21"/>
      <c r="CQ14" s="21"/>
      <c r="CR14" s="21"/>
      <c r="CS14" s="21"/>
      <c r="CT14" s="21"/>
      <c r="CU14" s="21"/>
      <c r="CV14" s="21"/>
    </row>
    <row r="15" spans="1:107" s="20" customFormat="1" ht="11.25" customHeight="1" outlineLevel="1" x14ac:dyDescent="0.3">
      <c r="B15" s="84" t="str">
        <f ca="1">IF(IFERROR(MATCH("*",OFFSET(Budget!$A$24,B14,0,ROWS(Personnel[]),1),0)+B14,999)&lt;ROWS(Personnel[]),IFERROR(MATCH("*",OFFSET(Budget!$A$24,B14,0,ROWS(Personnel[]),1),0)+B14,999),"")</f>
        <v/>
      </c>
      <c r="C15" s="167" t="str">
        <f ca="1">IFERROR(INDEX(Personnel[Category],B15),"")</f>
        <v/>
      </c>
      <c r="D15" s="167" t="str">
        <f ca="1">IFERROR(INDEX(Personnel[Organisation type],B15),"")</f>
        <v/>
      </c>
      <c r="E15" s="167" t="str">
        <f ca="1">IF(B15="","",IF(_xlfn.IFNA(MATCH("*Postdoc*",C15,0)&gt;0,FALSE),IF(AND(INDEX(Personnel[FTE],B15)&gt;=pers_PD_min_FTE,INDEX(Personnel[Months],B15)&gt;=pers_PD_min_months),TRUE,FALSE),TRUE))</f>
        <v/>
      </c>
      <c r="F15" s="261" t="str">
        <f t="shared" ca="1" si="0"/>
        <v/>
      </c>
      <c r="G15" s="111"/>
      <c r="H15" s="167" t="str" cm="1">
        <f t="array" aca="1" ref="H15" ca="1">IFERROR(_xlfn.IFNA(INDEX($B$11:$E$20,H14+MATCH("yes",OFFSET($F$11,H14,0,ROWS(Personnel[])-H14,1),0),1),""),"")</f>
        <v/>
      </c>
      <c r="I15" s="111" t="str">
        <f ca="1">IFERROR(INDEX(Personnel[Category],H15),"")</f>
        <v/>
      </c>
      <c r="J15" s="111" t="str">
        <f ca="1">IFERROR(INDEX(Personnel[FTE],H15),"")</f>
        <v/>
      </c>
      <c r="K15" s="111" t="str">
        <f ca="1">IFERROR(INDEX(Personnel[Months],H15),"")</f>
        <v/>
      </c>
      <c r="L15" s="111" t="str">
        <f ca="1">SUBSTITUTE(IFERROR(INDEX(Personnel[Organisation type],H15),""),0,"")</f>
        <v/>
      </c>
      <c r="M15" s="111" t="str">
        <f ca="1">SUBSTITUTE(IFERROR(INDEX(Personnel[Name organisation],H15),""),0,"")</f>
        <v/>
      </c>
      <c r="N15" s="111"/>
      <c r="O15" s="111"/>
      <c r="P15" s="274" t="str">
        <f>IF(ROW(E1136)-ROW($E$1132)&lt;ROWS(inkind[]),IFERROR(IF(INDEX(list_cofunders[private?],MATCH(Budget!F136,list_cofunders[list cofunders],0),1)="yes",Budget!H136,""),""),"")</f>
        <v/>
      </c>
      <c r="Q15" s="274" t="str">
        <f>IF(ROW(E1239)-ROW($E$1235)&lt;ROWS(incash[]),IFERROR(IF(INDEX(list_cofunders[private?],MATCH(Budget!F149,list_cofunders[list cofunders],0),1)="yes",Budget!H149,""),""),"")</f>
        <v/>
      </c>
      <c r="R15" s="111" t="str">
        <f>IFERROR(INDEX(Personnel[FTE],P15),"")</f>
        <v/>
      </c>
      <c r="S15" s="111"/>
      <c r="T15" s="167" t="str">
        <f ca="1">IF(IFERROR(MATCH(pers_int_listname,OFFSET(Budget!$F$24,T14,0,ROWS(Personnel[]),1),0)+T14,999)&lt;ROWS(Personnel[]),IFERROR(MATCH(pers_int_listname,OFFSET(Budget!$F$24,T14,0,ROWS(Personnel[]),1),0)+T14,999),"")</f>
        <v/>
      </c>
      <c r="U15" s="111" t="str">
        <f ca="1">IFERROR(INDEX(Personnel[Name organisation],T15),"")</f>
        <v/>
      </c>
      <c r="V15" s="274" t="str">
        <f ca="1">IFERROR(INDEX(Personnel[Amount],T15),"")</f>
        <v/>
      </c>
      <c r="W15" s="274" t="str">
        <f ca="1">IF(SUMIF(pers_abr_amount_org[Name org],pers_abr_amount_org[[#This Row],[Name org]],pers_abr_amount_org[Amount])&gt;0,SUMIF(pers_abr_amount_org[Name org],pers_abr_amount_org[[#This Row],[Name org]],pers_abr_amount_org[Amount]),"")</f>
        <v/>
      </c>
      <c r="X15" s="111"/>
      <c r="Y15" s="167"/>
      <c r="Z15" s="111"/>
      <c r="AA15" s="274"/>
      <c r="AB15" s="111"/>
      <c r="CN15" s="21"/>
      <c r="CO15" s="21"/>
      <c r="CP15" s="21"/>
      <c r="CQ15" s="21"/>
      <c r="CR15" s="21"/>
      <c r="CS15" s="21"/>
      <c r="CT15" s="21"/>
      <c r="CU15" s="21"/>
      <c r="CV15" s="21"/>
    </row>
    <row r="16" spans="1:107" s="20" customFormat="1" ht="11.25" customHeight="1" outlineLevel="1" x14ac:dyDescent="0.3">
      <c r="B16" s="84" t="str">
        <f ca="1">IF(IFERROR(MATCH("*",OFFSET(Budget!$A$24,B15,0,ROWS(Personnel[]),1),0)+B15,999)&lt;ROWS(Personnel[]),IFERROR(MATCH("*",OFFSET(Budget!$A$24,B15,0,ROWS(Personnel[]),1),0)+B15,999),"")</f>
        <v/>
      </c>
      <c r="C16" s="167" t="str">
        <f ca="1">IFERROR(INDEX(Personnel[Category],B16),"")</f>
        <v/>
      </c>
      <c r="D16" s="167" t="str">
        <f ca="1">IFERROR(INDEX(Personnel[Organisation type],B16),"")</f>
        <v/>
      </c>
      <c r="E16" s="167" t="str">
        <f ca="1">IF(B16="","",IF(_xlfn.IFNA(MATCH("*Postdoc*",C16,0)&gt;0,FALSE),IF(AND(INDEX(Personnel[FTE],B16)&gt;=pers_PD_min_FTE,INDEX(Personnel[Months],B16)&gt;=pers_PD_min_months),TRUE,FALSE),TRUE))</f>
        <v/>
      </c>
      <c r="F16" s="261" t="str">
        <f t="shared" ca="1" si="0"/>
        <v/>
      </c>
      <c r="G16" s="111"/>
      <c r="H16" s="167" t="str" cm="1">
        <f t="array" aca="1" ref="H16" ca="1">IFERROR(_xlfn.IFNA(INDEX($B$11:$E$20,H15+MATCH("yes",OFFSET($F$11,H15,0,ROWS(Personnel[])-H15,1),0),1),""),"")</f>
        <v/>
      </c>
      <c r="I16" s="111" t="str">
        <f ca="1">IFERROR(INDEX(Personnel[Category],H16),"")</f>
        <v/>
      </c>
      <c r="J16" s="111" t="str">
        <f ca="1">IFERROR(INDEX(Personnel[FTE],H16),"")</f>
        <v/>
      </c>
      <c r="K16" s="111" t="str">
        <f ca="1">IFERROR(INDEX(Personnel[Months],H16),"")</f>
        <v/>
      </c>
      <c r="L16" s="111" t="str">
        <f ca="1">SUBSTITUTE(IFERROR(INDEX(Personnel[Organisation type],H16),""),0,"")</f>
        <v/>
      </c>
      <c r="M16" s="111" t="str">
        <f ca="1">SUBSTITUTE(IFERROR(INDEX(Personnel[Name organisation],H16),""),0,"")</f>
        <v/>
      </c>
      <c r="N16" s="111"/>
      <c r="O16" s="111"/>
      <c r="P16" s="274" t="str">
        <f>IF(ROW(E1137)-ROW($E$1132)&lt;ROWS(inkind[]),IFERROR(IF(INDEX(list_cofunders[private?],MATCH(Budget!F137,list_cofunders[list cofunders],0),1)="yes",Budget!H137,""),""),"")</f>
        <v/>
      </c>
      <c r="Q16" s="274" t="str">
        <f>IF(ROW(E1240)-ROW($E$1235)&lt;ROWS(incash[]),IFERROR(IF(INDEX(list_cofunders[private?],MATCH(Budget!F150,list_cofunders[list cofunders],0),1)="yes",Budget!H150,""),""),"")</f>
        <v/>
      </c>
      <c r="R16" s="111" t="str">
        <f>IFERROR(INDEX(Personnel[FTE],P16),"")</f>
        <v/>
      </c>
      <c r="S16" s="111"/>
      <c r="T16" s="167" t="str">
        <f ca="1">IF(IFERROR(MATCH(pers_int_listname,OFFSET(Budget!$F$24,T15,0,ROWS(Personnel[]),1),0)+T15,999)&lt;ROWS(Personnel[]),IFERROR(MATCH(pers_int_listname,OFFSET(Budget!$F$24,T15,0,ROWS(Personnel[]),1),0)+T15,999),"")</f>
        <v/>
      </c>
      <c r="U16" s="111" t="str">
        <f ca="1">IFERROR(INDEX(Personnel[Name organisation],T16),"")</f>
        <v/>
      </c>
      <c r="V16" s="274" t="str">
        <f ca="1">IFERROR(INDEX(Personnel[Amount],T16),"")</f>
        <v/>
      </c>
      <c r="W16" s="274" t="str">
        <f ca="1">IF(SUMIF(pers_abr_amount_org[Name org],pers_abr_amount_org[[#This Row],[Name org]],pers_abr_amount_org[Amount])&gt;0,SUMIF(pers_abr_amount_org[Name org],pers_abr_amount_org[[#This Row],[Name org]],pers_abr_amount_org[Amount]),"")</f>
        <v/>
      </c>
      <c r="X16" s="111"/>
      <c r="Y16" s="167"/>
      <c r="Z16" s="111"/>
      <c r="AA16" s="274"/>
      <c r="AB16" s="111"/>
      <c r="CN16" s="21"/>
      <c r="CO16" s="21"/>
      <c r="CP16" s="21"/>
      <c r="CQ16" s="21"/>
      <c r="CR16" s="21"/>
      <c r="CS16" s="21"/>
      <c r="CT16" s="21"/>
      <c r="CU16" s="21"/>
      <c r="CV16" s="21"/>
    </row>
    <row r="17" spans="1:112" s="20" customFormat="1" ht="11.25" customHeight="1" outlineLevel="1" x14ac:dyDescent="0.3">
      <c r="B17" s="84" t="str">
        <f ca="1">IF(IFERROR(MATCH("*",OFFSET(Budget!$A$24,B16,0,ROWS(Personnel[]),1),0)+B16,999)&lt;ROWS(Personnel[]),IFERROR(MATCH("*",OFFSET(Budget!$A$24,B16,0,ROWS(Personnel[]),1),0)+B16,999),"")</f>
        <v/>
      </c>
      <c r="C17" s="167" t="str">
        <f ca="1">IFERROR(INDEX(Personnel[Category],B17),"")</f>
        <v/>
      </c>
      <c r="D17" s="167" t="str">
        <f ca="1">IFERROR(INDEX(Personnel[Organisation type],B17),"")</f>
        <v/>
      </c>
      <c r="E17" s="167" t="str">
        <f ca="1">IF(B17="","",IF(_xlfn.IFNA(MATCH("*Postdoc*",C17,0)&gt;0,FALSE),IF(AND(INDEX(Personnel[FTE],B17)&gt;=pers_PD_min_FTE,INDEX(Personnel[Months],B17)&gt;=pers_PD_min_months),TRUE,FALSE),TRUE))</f>
        <v/>
      </c>
      <c r="F17" s="261" t="str">
        <f t="shared" ca="1" si="0"/>
        <v/>
      </c>
      <c r="G17" s="111"/>
      <c r="H17" s="167" t="str" cm="1">
        <f t="array" aca="1" ref="H17" ca="1">IFERROR(_xlfn.IFNA(INDEX($B$11:$E$20,H16+MATCH("yes",OFFSET($F$11,H16,0,ROWS(Personnel[])-H16,1),0),1),""),"")</f>
        <v/>
      </c>
      <c r="I17" s="111" t="str">
        <f ca="1">IFERROR(INDEX(Personnel[Category],H17),"")</f>
        <v/>
      </c>
      <c r="J17" s="111" t="str">
        <f ca="1">IFERROR(INDEX(Personnel[FTE],H17),"")</f>
        <v/>
      </c>
      <c r="K17" s="111" t="str">
        <f ca="1">IFERROR(INDEX(Personnel[Months],H17),"")</f>
        <v/>
      </c>
      <c r="L17" s="111" t="str">
        <f ca="1">SUBSTITUTE(IFERROR(INDEX(Personnel[Organisation type],H17),""),0,"")</f>
        <v/>
      </c>
      <c r="M17" s="111" t="str">
        <f ca="1">SUBSTITUTE(IFERROR(INDEX(Personnel[Name organisation],H17),""),0,"")</f>
        <v/>
      </c>
      <c r="N17" s="111"/>
      <c r="O17" s="111"/>
      <c r="P17" s="274" t="str">
        <f>IF(ROW(E1138)-ROW($E$1132)&lt;ROWS(inkind[]),IFERROR(IF(INDEX(list_cofunders[private?],MATCH(Budget!F138,list_cofunders[list cofunders],0),1)="yes",Budget!H138,""),""),"")</f>
        <v/>
      </c>
      <c r="Q17" s="274" t="str">
        <f>IF(ROW(E1241)-ROW($E$1235)&lt;ROWS(incash[]),IFERROR(IF(INDEX(list_cofunders[private?],MATCH(Budget!F151,list_cofunders[list cofunders],0),1)="yes",Budget!H151,""),""),"")</f>
        <v/>
      </c>
      <c r="R17" s="111" t="str">
        <f>IFERROR(INDEX(Personnel[FTE],P17),"")</f>
        <v/>
      </c>
      <c r="S17" s="111"/>
      <c r="T17" s="167" t="str">
        <f ca="1">IF(IFERROR(MATCH(pers_int_listname,OFFSET(Budget!$F$24,T16,0,ROWS(Personnel[]),1),0)+T16,999)&lt;ROWS(Personnel[]),IFERROR(MATCH(pers_int_listname,OFFSET(Budget!$F$24,T16,0,ROWS(Personnel[]),1),0)+T16,999),"")</f>
        <v/>
      </c>
      <c r="U17" s="111" t="str">
        <f ca="1">IFERROR(INDEX(Personnel[Name organisation],T17),"")</f>
        <v/>
      </c>
      <c r="V17" s="274" t="str">
        <f ca="1">IFERROR(INDEX(Personnel[Amount],T17),"")</f>
        <v/>
      </c>
      <c r="W17" s="274" t="str">
        <f ca="1">IF(SUMIF(pers_abr_amount_org[Name org],pers_abr_amount_org[[#This Row],[Name org]],pers_abr_amount_org[Amount])&gt;0,SUMIF(pers_abr_amount_org[Name org],pers_abr_amount_org[[#This Row],[Name org]],pers_abr_amount_org[Amount]),"")</f>
        <v/>
      </c>
      <c r="X17" s="111"/>
      <c r="Y17" s="167"/>
      <c r="Z17" s="111"/>
      <c r="AA17" s="274"/>
      <c r="AB17" s="111"/>
      <c r="CN17" s="21"/>
      <c r="CO17" s="21"/>
      <c r="CP17" s="21"/>
      <c r="CQ17" s="21"/>
      <c r="CR17" s="21"/>
      <c r="CS17" s="21"/>
      <c r="CT17" s="21"/>
      <c r="CU17" s="21"/>
      <c r="CV17" s="21"/>
    </row>
    <row r="18" spans="1:112" s="20" customFormat="1" ht="11.25" customHeight="1" outlineLevel="1" x14ac:dyDescent="0.3">
      <c r="B18" s="84" t="str">
        <f ca="1">IF(IFERROR(MATCH("*",OFFSET(Budget!$A$24,B17,0,ROWS(Personnel[]),1),0)+B17,999)&lt;ROWS(Personnel[]),IFERROR(MATCH("*",OFFSET(Budget!$A$24,B17,0,ROWS(Personnel[]),1),0)+B17,999),"")</f>
        <v/>
      </c>
      <c r="C18" s="167" t="str">
        <f ca="1">IFERROR(INDEX(Personnel[Category],B18),"")</f>
        <v/>
      </c>
      <c r="D18" s="167" t="str">
        <f ca="1">IFERROR(INDEX(Personnel[Organisation type],B18),"")</f>
        <v/>
      </c>
      <c r="E18" s="167" t="str">
        <f ca="1">IF(B18="","",IF(_xlfn.IFNA(MATCH("*Postdoc*",C18,0)&gt;0,FALSE),IF(AND(INDEX(Personnel[FTE],B18)&gt;=pers_PD_min_FTE,INDEX(Personnel[Months],B18)&gt;=pers_PD_min_months),TRUE,FALSE),TRUE))</f>
        <v/>
      </c>
      <c r="F18" s="261" t="str">
        <f t="shared" ca="1" si="0"/>
        <v/>
      </c>
      <c r="G18" s="111"/>
      <c r="H18" s="167" t="str" cm="1">
        <f t="array" aca="1" ref="H18" ca="1">IFERROR(_xlfn.IFNA(INDEX($B$11:$E$20,H17+MATCH("yes",OFFSET($F$11,H17,0,ROWS(Personnel[])-H17,1),0),1),""),"")</f>
        <v/>
      </c>
      <c r="I18" s="111" t="str">
        <f ca="1">IFERROR(INDEX(Personnel[Category],H18),"")</f>
        <v/>
      </c>
      <c r="J18" s="111" t="str">
        <f ca="1">IFERROR(INDEX(Personnel[FTE],H18),"")</f>
        <v/>
      </c>
      <c r="K18" s="111" t="str">
        <f ca="1">IFERROR(INDEX(Personnel[Months],H18),"")</f>
        <v/>
      </c>
      <c r="L18" s="111" t="str">
        <f ca="1">SUBSTITUTE(IFERROR(INDEX(Personnel[Organisation type],H18),""),0,"")</f>
        <v/>
      </c>
      <c r="M18" s="111" t="str">
        <f ca="1">SUBSTITUTE(IFERROR(INDEX(Personnel[Name organisation],H18),""),0,"")</f>
        <v/>
      </c>
      <c r="N18" s="111"/>
      <c r="O18" s="111"/>
      <c r="P18" s="274" t="str">
        <f>IF(ROW(E1139)-ROW($E$1132)&lt;ROWS(inkind[]),IFERROR(IF(INDEX(list_cofunders[private?],MATCH(Budget!F139,list_cofunders[list cofunders],0),1)="yes",Budget!H139,""),""),"")</f>
        <v/>
      </c>
      <c r="Q18" s="274" t="str">
        <f>IF(ROW(E1242)-ROW($E$1235)&lt;ROWS(incash[]),IFERROR(IF(INDEX(list_cofunders[private?],MATCH(Budget!F152,list_cofunders[list cofunders],0),1)="yes",Budget!H152,""),""),"")</f>
        <v/>
      </c>
      <c r="R18" s="111" t="str">
        <f>IFERROR(INDEX(Personnel[FTE],P18),"")</f>
        <v/>
      </c>
      <c r="S18" s="111"/>
      <c r="T18" s="167" t="str">
        <f ca="1">IF(IFERROR(MATCH(pers_int_listname,OFFSET(Budget!$F$24,T17,0,ROWS(Personnel[]),1),0)+T17,999)&lt;ROWS(Personnel[]),IFERROR(MATCH(pers_int_listname,OFFSET(Budget!$F$24,T17,0,ROWS(Personnel[]),1),0)+T17,999),"")</f>
        <v/>
      </c>
      <c r="U18" s="111" t="str">
        <f ca="1">IFERROR(INDEX(Personnel[Name organisation],T18),"")</f>
        <v/>
      </c>
      <c r="V18" s="274" t="str">
        <f ca="1">IFERROR(INDEX(Personnel[Amount],T18),"")</f>
        <v/>
      </c>
      <c r="W18" s="274" t="str">
        <f ca="1">IF(SUMIF(pers_abr_amount_org[Name org],pers_abr_amount_org[[#This Row],[Name org]],pers_abr_amount_org[Amount])&gt;0,SUMIF(pers_abr_amount_org[Name org],pers_abr_amount_org[[#This Row],[Name org]],pers_abr_amount_org[Amount]),"")</f>
        <v/>
      </c>
      <c r="X18" s="111"/>
      <c r="Y18" s="167"/>
      <c r="Z18" s="111"/>
      <c r="AA18" s="274"/>
      <c r="AB18" s="111"/>
      <c r="CN18" s="21"/>
      <c r="CO18" s="21"/>
      <c r="CP18" s="21"/>
      <c r="CQ18" s="21"/>
      <c r="CR18" s="21"/>
      <c r="CS18" s="21"/>
      <c r="CT18" s="21"/>
      <c r="CU18" s="21"/>
      <c r="CV18" s="21"/>
    </row>
    <row r="19" spans="1:112" s="20" customFormat="1" ht="11.25" customHeight="1" outlineLevel="1" x14ac:dyDescent="0.3">
      <c r="B19" s="84" t="str">
        <f ca="1">IF(IFERROR(MATCH("*",OFFSET(Budget!$A$24,B18,0,ROWS(Personnel[]),1),0)+B18,999)&lt;ROWS(Personnel[]),IFERROR(MATCH("*",OFFSET(Budget!$A$24,B18,0,ROWS(Personnel[]),1),0)+B18,999),"")</f>
        <v/>
      </c>
      <c r="C19" s="167" t="str">
        <f ca="1">IFERROR(INDEX(Personnel[Category],B19),"")</f>
        <v/>
      </c>
      <c r="D19" s="167" t="str">
        <f ca="1">IFERROR(INDEX(Personnel[Organisation type],B19),"")</f>
        <v/>
      </c>
      <c r="E19" s="167" t="str">
        <f ca="1">IF(B19="","",IF(_xlfn.IFNA(MATCH("*Postdoc*",C19,0)&gt;0,FALSE),IF(AND(INDEX(Personnel[FTE],B19)&gt;=pers_PD_min_FTE,INDEX(Personnel[Months],B19)&gt;=pers_PD_min_months),TRUE,FALSE),TRUE))</f>
        <v/>
      </c>
      <c r="F19" s="261" t="str">
        <f t="shared" ca="1" si="0"/>
        <v/>
      </c>
      <c r="G19" s="111"/>
      <c r="H19" s="167" t="str" cm="1">
        <f t="array" aca="1" ref="H19" ca="1">IFERROR(_xlfn.IFNA(INDEX($B$11:$E$20,H18+MATCH("yes",OFFSET($F$11,H18,0,ROWS(Personnel[])-H18,1),0),1),""),"")</f>
        <v/>
      </c>
      <c r="I19" s="111" t="str">
        <f ca="1">IFERROR(INDEX(Personnel[Category],H19),"")</f>
        <v/>
      </c>
      <c r="J19" s="111" t="str">
        <f ca="1">IFERROR(INDEX(Personnel[FTE],H19),"")</f>
        <v/>
      </c>
      <c r="K19" s="111" t="str">
        <f ca="1">IFERROR(INDEX(Personnel[Months],H19),"")</f>
        <v/>
      </c>
      <c r="L19" s="111" t="str">
        <f ca="1">SUBSTITUTE(IFERROR(INDEX(Personnel[Organisation type],H19),""),0,"")</f>
        <v/>
      </c>
      <c r="M19" s="111" t="str">
        <f ca="1">SUBSTITUTE(IFERROR(INDEX(Personnel[Name organisation],H19),""),0,"")</f>
        <v/>
      </c>
      <c r="N19" s="111"/>
      <c r="O19" s="111"/>
      <c r="P19" s="274" t="str">
        <f>IF(ROW(E1140)-ROW($E$1132)&lt;ROWS(inkind[]),IFERROR(IF(INDEX(list_cofunders[private?],MATCH(Budget!F140,list_cofunders[list cofunders],0),1)="yes",Budget!H140,""),""),"")</f>
        <v/>
      </c>
      <c r="Q19" s="274" t="str">
        <f>IF(ROW(E1243)-ROW($E$1235)&lt;ROWS(incash[]),IFERROR(IF(INDEX(list_cofunders[private?],MATCH(Budget!F153,list_cofunders[list cofunders],0),1)="yes",Budget!H153,""),""),"")</f>
        <v/>
      </c>
      <c r="R19" s="111" t="str">
        <f>IFERROR(INDEX(Personnel[FTE],P19),"")</f>
        <v/>
      </c>
      <c r="S19" s="111"/>
      <c r="T19" s="167" t="str">
        <f ca="1">IF(IFERROR(MATCH(pers_int_listname,OFFSET(Budget!$F$24,T18,0,ROWS(Personnel[]),1),0)+T18,999)&lt;ROWS(Personnel[]),IFERROR(MATCH(pers_int_listname,OFFSET(Budget!$F$24,T18,0,ROWS(Personnel[]),1),0)+T18,999),"")</f>
        <v/>
      </c>
      <c r="U19" s="111" t="str">
        <f ca="1">IFERROR(INDEX(Personnel[Name organisation],T19),"")</f>
        <v/>
      </c>
      <c r="V19" s="274" t="str">
        <f ca="1">IFERROR(INDEX(Personnel[Amount],T19),"")</f>
        <v/>
      </c>
      <c r="W19" s="274" t="str">
        <f ca="1">IF(SUMIF(pers_abr_amount_org[Name org],pers_abr_amount_org[[#This Row],[Name org]],pers_abr_amount_org[Amount])&gt;0,SUMIF(pers_abr_amount_org[Name org],pers_abr_amount_org[[#This Row],[Name org]],pers_abr_amount_org[Amount]),"")</f>
        <v/>
      </c>
      <c r="X19" s="111"/>
      <c r="Y19" s="167"/>
      <c r="Z19" s="111"/>
      <c r="AA19" s="274"/>
      <c r="AB19" s="111"/>
      <c r="CN19" s="21"/>
      <c r="CO19" s="21"/>
      <c r="CP19" s="21"/>
      <c r="CQ19" s="21"/>
      <c r="CR19" s="21"/>
      <c r="CS19" s="21"/>
      <c r="CT19" s="21"/>
      <c r="CU19" s="21"/>
      <c r="CV19" s="21"/>
    </row>
    <row r="20" spans="1:112" s="20" customFormat="1" ht="11.25" customHeight="1" outlineLevel="1" x14ac:dyDescent="0.3">
      <c r="B20" s="84" t="str">
        <f ca="1">IF(IFERROR(MATCH("*",OFFSET(Budget!$A$24,B19,0,ROWS(Personnel[]),1),0)+B19,999)&lt;ROWS(Personnel[]),IFERROR(MATCH("*",OFFSET(Budget!$A$24,B19,0,ROWS(Personnel[]),1),0)+B19,999),"")</f>
        <v/>
      </c>
      <c r="C20" s="167" t="str">
        <f ca="1">IFERROR(INDEX(Personnel[Category],B20),"")</f>
        <v/>
      </c>
      <c r="D20" s="167" t="str">
        <f ca="1">IFERROR(INDEX(Personnel[Organisation type],B20),"")</f>
        <v/>
      </c>
      <c r="E20" s="167" t="str">
        <f ca="1">IF(B20="","",IF(_xlfn.IFNA(MATCH("*Postdoc*",C20,0)&gt;0,FALSE),IF(AND(INDEX(Personnel[FTE],B20)&gt;=pers_PD_min_FTE,INDEX(Personnel[Months],B20)&gt;=pers_PD_min_months),TRUE,FALSE),TRUE))</f>
        <v/>
      </c>
      <c r="F20" s="261" t="str">
        <f t="shared" ca="1" si="0"/>
        <v/>
      </c>
      <c r="G20" s="111"/>
      <c r="H20" s="167" t="str" cm="1">
        <f t="array" aca="1" ref="H20" ca="1">IFERROR(_xlfn.IFNA(INDEX($B$11:$E$20,H19+MATCH("yes",OFFSET($F$11,H19,0,ROWS(Personnel[])-H19,1),0),1),""),"")</f>
        <v/>
      </c>
      <c r="I20" s="111" t="str">
        <f ca="1">IFERROR(INDEX(Personnel[Category],H20),"")</f>
        <v/>
      </c>
      <c r="J20" s="111" t="str">
        <f ca="1">IFERROR(INDEX(Personnel[FTE],H20),"")</f>
        <v/>
      </c>
      <c r="K20" s="111" t="str">
        <f ca="1">IFERROR(INDEX(Personnel[Months],H20),"")</f>
        <v/>
      </c>
      <c r="L20" s="111" t="str">
        <f ca="1">SUBSTITUTE(IFERROR(INDEX(Personnel[Organisation type],H20),""),0,"")</f>
        <v/>
      </c>
      <c r="M20" s="111" t="str">
        <f ca="1">SUBSTITUTE(IFERROR(INDEX(Personnel[Name organisation],H20),""),0,"")</f>
        <v/>
      </c>
      <c r="N20" s="111"/>
      <c r="O20" s="111"/>
      <c r="P20" s="274" t="str">
        <f>IF(ROW(E1141)-ROW($E$1132)&lt;ROWS(inkind[]),IFERROR(IF(INDEX(list_cofunders[private?],MATCH(Budget!F141,list_cofunders[list cofunders],0),1)="yes",Budget!H141,""),""),"")</f>
        <v/>
      </c>
      <c r="Q20" s="274" t="str">
        <f>IF(ROW(E1244)-ROW($E$1235)&lt;ROWS(incash[]),IFERROR(IF(INDEX(list_cofunders[private?],MATCH(Budget!F154,list_cofunders[list cofunders],0),1)="yes",Budget!H154,""),""),"")</f>
        <v/>
      </c>
      <c r="R20" s="111" t="str">
        <f>IFERROR(INDEX(Personnel[FTE],P20),"")</f>
        <v/>
      </c>
      <c r="S20" s="111"/>
      <c r="T20" s="167" t="str">
        <f ca="1">IF(IFERROR(MATCH(pers_int_listname,OFFSET(Budget!$F$24,T19,0,ROWS(Personnel[]),1),0)+T19,999)&lt;ROWS(Personnel[]),IFERROR(MATCH(pers_int_listname,OFFSET(Budget!$F$24,T19,0,ROWS(Personnel[]),1),0)+T19,999),"")</f>
        <v/>
      </c>
      <c r="U20" s="111" t="str">
        <f ca="1">IFERROR(INDEX(Personnel[Name organisation],T20),"")</f>
        <v/>
      </c>
      <c r="V20" s="274" t="str">
        <f ca="1">IFERROR(INDEX(Personnel[Amount],T20),"")</f>
        <v/>
      </c>
      <c r="W20" s="274" t="str">
        <f ca="1">IF(SUMIF(pers_abr_amount_org[Name org],pers_abr_amount_org[[#This Row],[Name org]],pers_abr_amount_org[Amount])&gt;0,SUMIF(pers_abr_amount_org[Name org],pers_abr_amount_org[[#This Row],[Name org]],pers_abr_amount_org[Amount]),"")</f>
        <v/>
      </c>
      <c r="X20" s="111"/>
      <c r="Y20" s="167"/>
      <c r="Z20" s="111"/>
      <c r="AA20" s="274"/>
      <c r="AB20" s="111"/>
      <c r="CN20" s="21"/>
      <c r="CO20" s="21"/>
      <c r="CP20" s="21"/>
      <c r="CQ20" s="21"/>
      <c r="CR20" s="21"/>
      <c r="CS20" s="21"/>
      <c r="CT20" s="21"/>
      <c r="CU20" s="21"/>
      <c r="CV20" s="21"/>
    </row>
    <row r="21" spans="1:112" s="20" customFormat="1" ht="11.25" customHeight="1" x14ac:dyDescent="0.3">
      <c r="B21" s="116" t="s">
        <v>170</v>
      </c>
      <c r="C21" s="309">
        <f ca="1">SUM(E11:E20)</f>
        <v>0</v>
      </c>
      <c r="D21" s="111"/>
      <c r="E21" s="111"/>
      <c r="F21" s="111"/>
      <c r="G21" s="111"/>
      <c r="H21" s="111"/>
      <c r="I21" s="111"/>
      <c r="J21" s="111"/>
      <c r="K21" s="111"/>
      <c r="L21" s="111"/>
      <c r="M21" s="111"/>
      <c r="N21" s="111"/>
      <c r="O21" s="126" t="s">
        <v>174</v>
      </c>
      <c r="P21" s="274">
        <f>SUM(P11:P20)</f>
        <v>0</v>
      </c>
      <c r="Q21" s="274">
        <f>SUM(Q11:Q20)</f>
        <v>0</v>
      </c>
      <c r="R21" s="111"/>
      <c r="S21" s="111"/>
      <c r="T21" s="111"/>
      <c r="U21" s="111"/>
      <c r="V21" s="111"/>
      <c r="W21" s="111"/>
      <c r="X21" s="111"/>
      <c r="Y21" s="111"/>
      <c r="Z21" s="111"/>
      <c r="AA21" s="111"/>
      <c r="AB21" s="111"/>
      <c r="AC21" s="111"/>
      <c r="AD21" s="111"/>
      <c r="AE21" s="111"/>
      <c r="CS21" s="21"/>
      <c r="CT21" s="21"/>
      <c r="CU21" s="21"/>
      <c r="CV21" s="21"/>
      <c r="CW21" s="21"/>
      <c r="CX21" s="21"/>
      <c r="CY21" s="21"/>
      <c r="CZ21" s="21"/>
      <c r="DA21" s="21"/>
    </row>
    <row r="22" spans="1:112" s="20" customFormat="1" ht="11.25" customHeight="1" x14ac:dyDescent="0.3">
      <c r="D22" s="111"/>
      <c r="E22" s="111"/>
      <c r="F22" s="111"/>
      <c r="G22" s="111"/>
      <c r="H22" s="111"/>
      <c r="I22" s="111"/>
      <c r="J22" s="111"/>
      <c r="K22" s="111"/>
      <c r="L22" s="111"/>
      <c r="M22" s="111"/>
      <c r="N22" s="111"/>
      <c r="O22" s="111"/>
      <c r="P22" s="126" t="s">
        <v>568</v>
      </c>
      <c r="Q22" s="127">
        <f>P21+Q21</f>
        <v>0</v>
      </c>
      <c r="R22" s="111"/>
      <c r="S22" s="111"/>
      <c r="T22" s="111"/>
      <c r="U22" s="111"/>
      <c r="V22" s="111"/>
      <c r="W22" s="111"/>
      <c r="X22" s="111"/>
      <c r="Y22" s="111"/>
      <c r="Z22" s="111"/>
      <c r="AA22" s="111"/>
      <c r="AB22" s="111"/>
      <c r="AC22" s="111"/>
      <c r="AD22" s="111"/>
      <c r="CR22" s="21"/>
      <c r="CS22" s="21"/>
      <c r="CT22" s="21"/>
      <c r="CU22" s="21"/>
      <c r="CV22" s="21"/>
      <c r="CW22" s="21"/>
      <c r="CX22" s="21"/>
      <c r="CY22" s="21"/>
      <c r="CZ22" s="21"/>
    </row>
    <row r="23" spans="1:112" s="20" customFormat="1" ht="11.25" customHeight="1" x14ac:dyDescent="0.3">
      <c r="A23" s="58"/>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CW23" s="21"/>
      <c r="CX23" s="21"/>
      <c r="CY23" s="21"/>
      <c r="CZ23" s="21"/>
      <c r="DA23" s="21"/>
      <c r="DB23" s="21"/>
      <c r="DC23" s="21"/>
      <c r="DD23" s="21"/>
      <c r="DE23" s="21"/>
    </row>
    <row r="24" spans="1:112" s="20" customFormat="1" ht="11.25" customHeight="1" x14ac:dyDescent="0.3">
      <c r="A24" s="58"/>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CZ24" s="21"/>
      <c r="DA24" s="21"/>
      <c r="DB24" s="21"/>
      <c r="DC24" s="21"/>
      <c r="DD24" s="21"/>
      <c r="DE24" s="21"/>
      <c r="DF24" s="21"/>
      <c r="DG24" s="21"/>
      <c r="DH24" s="21"/>
    </row>
    <row r="25" spans="1:112" s="20" customFormat="1" ht="15" customHeight="1" x14ac:dyDescent="0.3">
      <c r="A25" s="58" t="s">
        <v>552</v>
      </c>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CZ25" s="21"/>
      <c r="DA25" s="21"/>
      <c r="DB25" s="21"/>
      <c r="DC25" s="21"/>
      <c r="DD25" s="21"/>
      <c r="DE25" s="21"/>
      <c r="DF25" s="21"/>
      <c r="DG25" s="21"/>
      <c r="DH25" s="21"/>
    </row>
    <row r="26" spans="1:112" outlineLevel="1" x14ac:dyDescent="0.3">
      <c r="A26" s="116" t="s">
        <v>527</v>
      </c>
      <c r="B26" s="116" t="s">
        <v>528</v>
      </c>
      <c r="C26" s="116" t="s">
        <v>620</v>
      </c>
    </row>
    <row r="27" spans="1:112" outlineLevel="1" x14ac:dyDescent="0.3">
      <c r="A27" s="128" t="s">
        <v>652</v>
      </c>
      <c r="B27" s="128" t="s">
        <v>653</v>
      </c>
      <c r="C27" s="250"/>
    </row>
    <row r="28" spans="1:112" outlineLevel="1" x14ac:dyDescent="0.3">
      <c r="A28" s="128" t="s">
        <v>651</v>
      </c>
      <c r="B28" s="128" t="s">
        <v>654</v>
      </c>
      <c r="C28" s="250"/>
    </row>
    <row r="29" spans="1:112" outlineLevel="1" x14ac:dyDescent="0.3">
      <c r="A29" s="128" t="s">
        <v>553</v>
      </c>
      <c r="B29" s="128" t="s">
        <v>554</v>
      </c>
      <c r="C29" s="128"/>
    </row>
    <row r="30" spans="1:112" outlineLevel="1" x14ac:dyDescent="0.3">
      <c r="A30" s="128" t="s">
        <v>655</v>
      </c>
      <c r="B30" s="128" t="s">
        <v>658</v>
      </c>
      <c r="C30" s="128"/>
    </row>
    <row r="31" spans="1:112" outlineLevel="1" x14ac:dyDescent="0.3">
      <c r="A31" s="128" t="s">
        <v>656</v>
      </c>
      <c r="B31" s="128" t="s">
        <v>659</v>
      </c>
      <c r="C31" s="128"/>
    </row>
    <row r="32" spans="1:112" outlineLevel="1" x14ac:dyDescent="0.3">
      <c r="A32" s="128" t="s">
        <v>555</v>
      </c>
      <c r="B32" s="128" t="s">
        <v>556</v>
      </c>
      <c r="C32" s="128"/>
    </row>
    <row r="33" spans="1:3" ht="39" customHeight="1" outlineLevel="1" x14ac:dyDescent="0.3">
      <c r="A33" s="128" t="s">
        <v>562</v>
      </c>
      <c r="B33" s="128" t="str">
        <f>"The envisioned project duration exceeds the limit of "&amp;Max_project_duration&amp; " months."</f>
        <v>The envisioned project duration exceeds the limit of 48 months.</v>
      </c>
      <c r="C33" s="128"/>
    </row>
    <row r="34" spans="1:3" ht="28.8" outlineLevel="1" x14ac:dyDescent="0.3">
      <c r="A34" s="128" t="s">
        <v>561</v>
      </c>
      <c r="B34" s="128" t="str">
        <f>"Total NWO funding is less than the minimum required "&amp;TEXT(Min_NWO_funding,"€ 0") &amp; "."</f>
        <v>Total NWO funding is less than the minimum required € 0.</v>
      </c>
      <c r="C34" s="128"/>
    </row>
    <row r="35" spans="1:3" ht="36.75" customHeight="1" outlineLevel="1" x14ac:dyDescent="0.3">
      <c r="A35" s="128" t="s">
        <v>559</v>
      </c>
      <c r="B35" s="128" t="str">
        <f>"Total NWO funding may not exceed "&amp;TEXT(Max_NWO_funding,"€ #.#") &amp; "."</f>
        <v>Total NWO funding may not exceed € 320.000.</v>
      </c>
      <c r="C35" s="128"/>
    </row>
    <row r="36" spans="1:3" ht="36.75" customHeight="1" outlineLevel="1" x14ac:dyDescent="0.3">
      <c r="A36" s="128" t="s">
        <v>661</v>
      </c>
      <c r="B36" s="128" t="str">
        <f>IF(empty_lines="no","Please do not leave empty lines in between budget posts.","")</f>
        <v>Please do not leave empty lines in between budget posts.</v>
      </c>
      <c r="C36" s="128"/>
    </row>
    <row r="37" spans="1:3" ht="28.8" outlineLevel="1" x14ac:dyDescent="0.3">
      <c r="A37" s="128" t="s">
        <v>529</v>
      </c>
      <c r="B37" s="128" t="s">
        <v>530</v>
      </c>
      <c r="C37" s="128"/>
    </row>
    <row r="38" spans="1:3" ht="28.8" outlineLevel="1" x14ac:dyDescent="0.3">
      <c r="A38" s="128" t="s">
        <v>764</v>
      </c>
      <c r="B38" s="128" t="str">
        <f>"(Equivalent) PhD duration less than minimal "&amp;TEXT(pers_PhD_min_months,"#")&amp;" fulltime months."</f>
        <v>(Equivalent) PhD duration less than minimal  fulltime months.</v>
      </c>
      <c r="C38" s="128"/>
    </row>
    <row r="39" spans="1:3" ht="28.8" outlineLevel="1" x14ac:dyDescent="0.3">
      <c r="A39" s="128" t="s">
        <v>765</v>
      </c>
      <c r="B39" s="128" t="str">
        <f>"(Equivalent) PhD duration more than maximum "&amp;TEXT(pers_PhD_max_months,"#")&amp;" fulltime months."</f>
        <v>(Equivalent) PhD duration more than maximum  fulltime months.</v>
      </c>
      <c r="C39" s="128"/>
    </row>
    <row r="40" spans="1:3" ht="28.8" outlineLevel="1" x14ac:dyDescent="0.3">
      <c r="A40" s="128" t="s">
        <v>766</v>
      </c>
      <c r="B40" s="128" t="s">
        <v>696</v>
      </c>
      <c r="C40" s="128"/>
    </row>
    <row r="41" spans="1:3" ht="28.8" outlineLevel="1" x14ac:dyDescent="0.3">
      <c r="A41" s="128" t="s">
        <v>697</v>
      </c>
      <c r="B41" s="128" t="s">
        <v>698</v>
      </c>
      <c r="C41" s="128"/>
    </row>
    <row r="42" spans="1:3" ht="28.8" outlineLevel="1" x14ac:dyDescent="0.3">
      <c r="A42" s="128" t="s">
        <v>533</v>
      </c>
      <c r="B42" s="128" t="str">
        <f>"3-years PhD duration less than minimal "&amp;TEXT(pers_3yPhD_min_months,"#")&amp;" fulltime months."</f>
        <v>3-years PhD duration less than minimal  fulltime months.</v>
      </c>
      <c r="C42" s="128"/>
    </row>
    <row r="43" spans="1:3" ht="28.8" outlineLevel="1" x14ac:dyDescent="0.3">
      <c r="A43" s="128" t="s">
        <v>767</v>
      </c>
      <c r="B43" s="128" t="s">
        <v>724</v>
      </c>
      <c r="C43" s="128"/>
    </row>
    <row r="44" spans="1:3" ht="28.8" outlineLevel="1" x14ac:dyDescent="0.3">
      <c r="A44" s="128" t="s">
        <v>768</v>
      </c>
      <c r="B44" s="128" t="str">
        <f>"EngD duration exceeds maximum of equivalent of "&amp;TEXT(pers_PDEng_max_months,"#")&amp;" fulltime months."</f>
        <v>EngD duration exceeds maximum of equivalent of  fulltime months.</v>
      </c>
      <c r="C44" s="128"/>
    </row>
    <row r="45" spans="1:3" ht="28.8" outlineLevel="1" x14ac:dyDescent="0.3">
      <c r="A45" s="128" t="s">
        <v>769</v>
      </c>
      <c r="B45" s="128" t="str">
        <f>"PD duration less than minimum of "&amp;TEXT(pers_PD_min_months,"#")&amp;" months, no benchfee can be requested."</f>
        <v>PD duration less than minimum of  months, no benchfee can be requested.</v>
      </c>
      <c r="C45" s="128"/>
    </row>
    <row r="46" spans="1:3" ht="37.5" customHeight="1" outlineLevel="1" x14ac:dyDescent="0.3">
      <c r="A46" s="128" t="s">
        <v>770</v>
      </c>
      <c r="B46" s="128" t="str">
        <f>"PD appointments is less than minimum of "&amp;TEXT(pers_PD_min_FTE,"0,00")&amp;" FTE, no benchfee can be requested."</f>
        <v>PD appointments is less than minimum of 0,00 FTE, no benchfee can be requested.</v>
      </c>
      <c r="C46" s="128"/>
    </row>
    <row r="47" spans="1:3" ht="28.8" outlineLevel="1" x14ac:dyDescent="0.3">
      <c r="A47" s="128" t="s">
        <v>771</v>
      </c>
      <c r="B47" s="128" t="str">
        <f>"PD duration exceeds maximal equivalent of "&amp;TEXT(pers_PD_max_months,"#")&amp;" fulltime months."</f>
        <v>PD duration exceeds maximal equivalent of  fulltime months.</v>
      </c>
      <c r="C47" s="128"/>
    </row>
    <row r="48" spans="1:3" ht="43.2" outlineLevel="1" x14ac:dyDescent="0.3">
      <c r="A48" s="128" t="s">
        <v>774</v>
      </c>
      <c r="B48" s="128" t="str">
        <f>"Physician researcher duration less than minimum (equivalent) of " &amp; pers_phy_res_min_months &amp;" fulltime months."</f>
        <v>Physician researcher duration less than minimum (equivalent) of 0 fulltime months.</v>
      </c>
      <c r="C48" s="128"/>
    </row>
    <row r="49" spans="1:3" ht="43.2" outlineLevel="1" x14ac:dyDescent="0.3">
      <c r="A49" s="128" t="s">
        <v>775</v>
      </c>
      <c r="B49" s="128" t="str">
        <f>"Physician researcher duration exceeds maximum (equivalent) of " &amp; pers_phy_res_max_months &amp; " fulltime months."</f>
        <v>Physician researcher duration exceeds maximum (equivalent) of 0 fulltime months.</v>
      </c>
      <c r="C49" s="128"/>
    </row>
    <row r="50" spans="1:3" ht="43.2" outlineLevel="1" x14ac:dyDescent="0.3">
      <c r="A50" s="128" t="s">
        <v>776</v>
      </c>
      <c r="B50" s="128" t="str">
        <f>"Total requested amount for Research Leave exceeds limit of "&amp; TEXT(pers_leave_maxperc,"#%") &amp; " of the requested NWO budget."</f>
        <v>Total requested amount for Research Leave exceeds limit of % of the requested NWO budget.</v>
      </c>
      <c r="C50" s="128"/>
    </row>
    <row r="51" spans="1:3" ht="28.8" outlineLevel="1" x14ac:dyDescent="0.3">
      <c r="A51" s="128" t="s">
        <v>859</v>
      </c>
      <c r="B51" s="128" t="s">
        <v>860</v>
      </c>
      <c r="C51" s="128"/>
    </row>
    <row r="52" spans="1:3" ht="28.8" outlineLevel="1" x14ac:dyDescent="0.3">
      <c r="A52" s="128" t="s">
        <v>863</v>
      </c>
      <c r="B52" s="128" t="s">
        <v>865</v>
      </c>
      <c r="C52" s="128"/>
    </row>
    <row r="53" spans="1:3" outlineLevel="1" x14ac:dyDescent="0.3">
      <c r="A53" s="128" t="s">
        <v>597</v>
      </c>
      <c r="B53" s="128" t="str">
        <f>IF(organisation_type="yes","Organisation type not specified.","")</f>
        <v/>
      </c>
      <c r="C53" s="128"/>
    </row>
    <row r="54" spans="1:3" outlineLevel="1" x14ac:dyDescent="0.3">
      <c r="A54" s="128" t="s">
        <v>646</v>
      </c>
      <c r="B54" s="128" t="str">
        <f>IF(organisation_name="yes","Name organisation not specified.","")</f>
        <v/>
      </c>
      <c r="C54" s="128"/>
    </row>
    <row r="55" spans="1:3" outlineLevel="1" x14ac:dyDescent="0.3">
      <c r="A55" s="128" t="s">
        <v>643</v>
      </c>
      <c r="B55" s="128" t="s">
        <v>644</v>
      </c>
      <c r="C55" s="128"/>
    </row>
    <row r="56" spans="1:3" ht="28.8" outlineLevel="1" x14ac:dyDescent="0.3">
      <c r="A56" s="128" t="s">
        <v>614</v>
      </c>
      <c r="B56" s="128" t="s">
        <v>615</v>
      </c>
      <c r="C56" s="128"/>
    </row>
    <row r="57" spans="1:3" ht="28.8" outlineLevel="1" x14ac:dyDescent="0.3">
      <c r="A57" s="128" t="s">
        <v>538</v>
      </c>
      <c r="B57" s="128"/>
      <c r="C57" s="128" t="s">
        <v>639</v>
      </c>
    </row>
    <row r="58" spans="1:3" ht="28.8" outlineLevel="1" x14ac:dyDescent="0.3">
      <c r="A58" s="128" t="s">
        <v>540</v>
      </c>
      <c r="B58" s="128" t="s">
        <v>541</v>
      </c>
      <c r="C58" s="128"/>
    </row>
    <row r="59" spans="1:3" outlineLevel="1" x14ac:dyDescent="0.3">
      <c r="A59" s="128" t="s">
        <v>605</v>
      </c>
      <c r="B59" s="128" t="s">
        <v>606</v>
      </c>
      <c r="C59" s="128"/>
    </row>
    <row r="60" spans="1:3" ht="43.2" outlineLevel="1" x14ac:dyDescent="0.3">
      <c r="A60" s="128" t="s">
        <v>607</v>
      </c>
      <c r="B60" s="128" t="str">
        <f>"Hourly rate exceeds maximum of &lt;&lt;max_hourly_rate&gt;&gt;, see section " &amp;  CfP_tariffs_other_inst &amp; " of the CfP."</f>
        <v>Hourly rate exceeds maximum of &lt;&lt;max_hourly_rate&gt;&gt;, see section Section 7 of the CfP.</v>
      </c>
      <c r="C60" s="128"/>
    </row>
    <row r="61" spans="1:3" outlineLevel="1" x14ac:dyDescent="0.3">
      <c r="A61" s="128" t="s">
        <v>626</v>
      </c>
      <c r="B61" s="128" t="s">
        <v>627</v>
      </c>
      <c r="C61" s="128"/>
    </row>
    <row r="62" spans="1:3" outlineLevel="1" x14ac:dyDescent="0.3">
      <c r="A62" s="128" t="s">
        <v>650</v>
      </c>
      <c r="B62" s="128" t="s">
        <v>649</v>
      </c>
      <c r="C62" s="128"/>
    </row>
    <row r="63" spans="1:3" outlineLevel="1" x14ac:dyDescent="0.3">
      <c r="A63" s="128" t="s">
        <v>640</v>
      </c>
      <c r="B63" s="128" t="str">
        <f>"Exceeding 1 FTE (&gt;"&amp;TEXT(pers_other_nrhours_year,"#") &amp;" hrs/year)."</f>
        <v>Exceeding 1 FTE (&gt;1410 hrs/year).</v>
      </c>
      <c r="C63" s="128"/>
    </row>
    <row r="64" spans="1:3" ht="28.8" outlineLevel="1" x14ac:dyDescent="0.3">
      <c r="A64" s="128" t="s">
        <v>709</v>
      </c>
      <c r="B64" s="128" t="str">
        <f>"At least " &amp; TEXT(pers_int_minpos,"@") &amp; " personnel positions abroad should be requested."</f>
        <v>At least 0 personnel positions abroad should be requested.</v>
      </c>
      <c r="C64" s="128"/>
    </row>
    <row r="65" spans="1:3" ht="29.25" customHeight="1" outlineLevel="1" x14ac:dyDescent="0.3">
      <c r="A65" s="128" t="s">
        <v>710</v>
      </c>
      <c r="B65" s="128" t="str">
        <f>"Exceeding max of " &amp; TEXT(pers_int_maxpos,"@") &amp; " personnel positions abroad."</f>
        <v>Exceeding max of 0 personnel positions abroad.</v>
      </c>
      <c r="C65" s="128"/>
    </row>
    <row r="66" spans="1:3" ht="28.8" outlineLevel="1" x14ac:dyDescent="0.3">
      <c r="A66" s="128" t="s">
        <v>711</v>
      </c>
      <c r="B66" s="128" t="str">
        <f>"At least "&amp;TEXT(pers_int_minamount,"€ #.#0") &amp; " should be requested for personnel abroad."</f>
        <v>At least € 0 should be requested for personnel abroad.</v>
      </c>
      <c r="C66" s="128"/>
    </row>
    <row r="67" spans="1:3" ht="28.8" outlineLevel="1" x14ac:dyDescent="0.3">
      <c r="A67" s="128" t="s">
        <v>712</v>
      </c>
      <c r="B67" s="128" t="str">
        <f>"Exceeding max of " &amp; TEXT(pers_int_maxamount,"€ #.#0") &amp; " for personnel costs abroad."</f>
        <v>Exceeding max of € 0 for personnel costs abroad.</v>
      </c>
      <c r="C67" s="128"/>
    </row>
    <row r="68" spans="1:3" ht="28.8" outlineLevel="1" x14ac:dyDescent="0.3">
      <c r="A68" s="128" t="s">
        <v>713</v>
      </c>
      <c r="B68" s="128" t="str">
        <f>"At least "&amp;TEXT(pers_int_minperc,"0%") &amp; " of NWO funding should be requested for personnel abroad."</f>
        <v>At least 0% of NWO funding should be requested for personnel abroad.</v>
      </c>
      <c r="C68" s="128"/>
    </row>
    <row r="69" spans="1:3" ht="28.8" outlineLevel="1" x14ac:dyDescent="0.3">
      <c r="A69" s="128" t="s">
        <v>714</v>
      </c>
      <c r="B69" s="128" t="str">
        <f>"Exceeding max of " &amp; TEXT(pers_int_maxperc,"0%") &amp; " of NWO funding for personnel costs abroad."</f>
        <v>Exceeding max of 0% of NWO funding for personnel costs abroad.</v>
      </c>
      <c r="C69" s="128"/>
    </row>
    <row r="70" spans="1:3" ht="28.8" outlineLevel="1" x14ac:dyDescent="0.3">
      <c r="A70" s="128" t="s">
        <v>716</v>
      </c>
      <c r="B70" s="128" t="s">
        <v>717</v>
      </c>
      <c r="C70" s="128"/>
    </row>
    <row r="71" spans="1:3" ht="69" customHeight="1" outlineLevel="1" x14ac:dyDescent="0.3">
      <c r="A71" s="128" t="s">
        <v>832</v>
      </c>
      <c r="B71" s="128" t="str">
        <f>"Please note that an audit is required with the final financial statement, since amount for one or more organisations exceeds " &amp;  TEXT(pers_int_amount_audit_stmnt,"€ #.#0") &amp; "."</f>
        <v>Please note that an audit is required with the final financial statement, since amount for one or more organisations exceeds € 0.</v>
      </c>
      <c r="C71" s="128"/>
    </row>
    <row r="72" spans="1:3" ht="48.75" customHeight="1" outlineLevel="1" x14ac:dyDescent="0.3">
      <c r="A72" s="128" t="s">
        <v>803</v>
      </c>
      <c r="B72" s="128" t="str">
        <f>"Amount for assistant/associate/full professors exceeds maximum of " &amp; TEXT(pers_fixed_max_amount,"€ #.#0")&amp;"."</f>
        <v>Amount for assistant/associate/full professors exceeds maximum of € 0.</v>
      </c>
      <c r="C72" s="128"/>
    </row>
    <row r="73" spans="1:3" ht="65.25" customHeight="1" outlineLevel="1" x14ac:dyDescent="0.3">
      <c r="A73" s="128" t="s">
        <v>804</v>
      </c>
      <c r="B73" s="128" t="str">
        <f>"Amount for assistant/associate/full professors exceeds max of " &amp; TEXT(pers_fixed_max_perc,"0%")&amp;" of total requested amount."</f>
        <v>Amount for assistant/associate/full professors exceeds max of 0% of total requested amount.</v>
      </c>
      <c r="C73" s="128"/>
    </row>
    <row r="74" spans="1:3" ht="65.25" customHeight="1" outlineLevel="1" x14ac:dyDescent="0.3">
      <c r="A74" s="128" t="s">
        <v>806</v>
      </c>
      <c r="B74" s="128" t="s">
        <v>807</v>
      </c>
      <c r="C74" s="128"/>
    </row>
    <row r="75" spans="1:3" ht="65.25" customHeight="1" outlineLevel="1" x14ac:dyDescent="0.3">
      <c r="A75" s="128" t="s">
        <v>813</v>
      </c>
      <c r="B75" s="128" t="str">
        <f>"Nr of positions exceeding at other institutions exceeds max of "&amp;TEXT(pers_other_inst_max_pos,"0")&amp;"."</f>
        <v>Nr of positions exceeding at other institutions exceeds max of 0.</v>
      </c>
      <c r="C75" s="128"/>
    </row>
    <row r="76" spans="1:3" ht="65.25" customHeight="1" outlineLevel="1" x14ac:dyDescent="0.3">
      <c r="A76" s="128" t="s">
        <v>814</v>
      </c>
      <c r="B76" s="128" t="str">
        <f>"Amount exceeds max of "&amp;TEXT(pers_other_inst_max_perc,"0%")&amp;" of NWO funding."</f>
        <v>Amount exceeds max of 0% of NWO funding.</v>
      </c>
      <c r="C76" s="128"/>
    </row>
    <row r="77" spans="1:3" ht="32.25" customHeight="1" outlineLevel="1" x14ac:dyDescent="0.3">
      <c r="A77" s="128" t="s">
        <v>617</v>
      </c>
      <c r="B77" s="128" t="str">
        <f>"Requested amount for materials exceeds maximum of "&amp;TEXT(Mat_max_amount,"€ #.#")</f>
        <v>Requested amount for materials exceeds maximum of € 320.000</v>
      </c>
      <c r="C77" s="128"/>
    </row>
    <row r="78" spans="1:3" ht="32.25" customHeight="1" outlineLevel="1" x14ac:dyDescent="0.3">
      <c r="A78" s="128" t="s">
        <v>753</v>
      </c>
      <c r="B78" s="128" t="str">
        <f>"Material costs exceeds max "&amp;TEXT(mat_maxperc_pers,"#%") &amp; " of personnel costs."</f>
        <v>Material costs exceeds max 100% of personnel costs.</v>
      </c>
      <c r="C78" s="128"/>
    </row>
    <row r="79" spans="1:3" ht="32.25" customHeight="1" outlineLevel="1" x14ac:dyDescent="0.3">
      <c r="A79" s="128" t="s">
        <v>734</v>
      </c>
      <c r="B79" s="128" t="str">
        <f>"Amount for organisations abroad exceeds " &amp; TEXT(mat_int_maxperc,"#%") &amp; " of material budget."</f>
        <v>Amount for organisations abroad exceeds % of material budget.</v>
      </c>
      <c r="C79" s="128"/>
    </row>
    <row r="80" spans="1:3" ht="32.25" customHeight="1" outlineLevel="1" x14ac:dyDescent="0.3">
      <c r="A80" s="128" t="s">
        <v>749</v>
      </c>
      <c r="B80" s="128" t="s">
        <v>750</v>
      </c>
      <c r="C80" s="128"/>
    </row>
    <row r="81" spans="1:3" ht="28.8" outlineLevel="1" x14ac:dyDescent="0.3">
      <c r="A81" s="128" t="s">
        <v>618</v>
      </c>
      <c r="B81" s="128" t="str">
        <f>IF(inv_own_contribution="yes","At least "&amp;TEXT(inv_min_perc_own_contr,"#%")&amp;" of the investment should be covered by the host institute.","")</f>
        <v/>
      </c>
      <c r="C81" s="128" t="str">
        <f>IF(inv_own_contribution="no","Not applicable","")</f>
        <v>Not applicable</v>
      </c>
    </row>
    <row r="82" spans="1:3" ht="30" customHeight="1" outlineLevel="1" x14ac:dyDescent="0.3">
      <c r="A82" s="128" t="s">
        <v>619</v>
      </c>
      <c r="B82" s="128" t="str">
        <f>IF(inv_min_total_amount&gt;0,"Total requested amount of investments should be at least "&amp;TEXT(inv_min_total_amount,"€ #.#0")&amp;".","")</f>
        <v/>
      </c>
      <c r="C82" s="128" t="str">
        <f>IF(inv_min_total_amount=0,"Not applicable","")</f>
        <v>Not applicable</v>
      </c>
    </row>
    <row r="83" spans="1:3" ht="30" customHeight="1" outlineLevel="1" x14ac:dyDescent="0.3">
      <c r="A83" s="128" t="s">
        <v>647</v>
      </c>
      <c r="B83" s="128" t="str">
        <f>"Total requested amount exceeds "&amp;TEXT(threshold_own_contribution,"€ #.#0")&amp;"."</f>
        <v>Total requested amount exceeds € 320.000.</v>
      </c>
      <c r="C83" s="128"/>
    </row>
    <row r="84" spans="1:3" ht="31.5" customHeight="1" outlineLevel="1" x14ac:dyDescent="0.3">
      <c r="A84" s="128" t="s">
        <v>648</v>
      </c>
      <c r="B84" s="128" t="str">
        <f>"Total requested amount of investments may not exceed "&amp;TEXT(inv_max_total_amount,"€ #.#0")&amp;"."</f>
        <v>Total requested amount of investments may not exceed € 500.000.</v>
      </c>
      <c r="C84" s="128"/>
    </row>
    <row r="85" spans="1:3" ht="31.5" customHeight="1" outlineLevel="1" x14ac:dyDescent="0.3">
      <c r="A85" s="128" t="s">
        <v>759</v>
      </c>
      <c r="B85" s="128" t="str">
        <f>"Total amount of KU should be at least "&amp;TEXT(KU_minperc,"#0%")&amp;" of the amount requested from NWO."</f>
        <v>Total amount of KU should be at least 0% of the amount requested from NWO.</v>
      </c>
      <c r="C85" s="128"/>
    </row>
    <row r="86" spans="1:3" ht="31.5" customHeight="1" outlineLevel="1" x14ac:dyDescent="0.3">
      <c r="A86" s="128" t="s">
        <v>760</v>
      </c>
      <c r="B86" s="128" t="str">
        <f>"Total amount of KU exceeds limit of "&amp;TEXT(KU_maxperc,"#0%")&amp;" of the amount requested from NWO."</f>
        <v>Total amount of KU exceeds limit of 5% of the amount requested from NWO.</v>
      </c>
      <c r="C86" s="128"/>
    </row>
    <row r="87" spans="1:3" ht="31.5" customHeight="1" outlineLevel="1" x14ac:dyDescent="0.3">
      <c r="A87" s="128" t="s">
        <v>756</v>
      </c>
      <c r="B87" s="128" t="str">
        <f>"Amount for organisations abroad exceeds " &amp; TEXT(KU_int_maxperc,"#%") &amp; " of knowledge utilisation budget."</f>
        <v>Amount for organisations abroad exceeds % of knowledge utilisation budget.</v>
      </c>
      <c r="C87" s="128"/>
    </row>
    <row r="88" spans="1:3" ht="31.5" customHeight="1" outlineLevel="1" x14ac:dyDescent="0.3">
      <c r="A88" s="128" t="s">
        <v>763</v>
      </c>
      <c r="B88" s="128" t="s">
        <v>750</v>
      </c>
      <c r="C88" s="128"/>
    </row>
    <row r="89" spans="1:3" ht="51" customHeight="1" outlineLevel="1" x14ac:dyDescent="0.3">
      <c r="A89" s="128" t="s">
        <v>744</v>
      </c>
      <c r="B89" s="128" t="s">
        <v>599</v>
      </c>
      <c r="C89" s="128"/>
    </row>
    <row r="90" spans="1:3" ht="51" customHeight="1" outlineLevel="1" x14ac:dyDescent="0.3">
      <c r="A90" s="128" t="s">
        <v>745</v>
      </c>
      <c r="B90" s="128" t="s">
        <v>642</v>
      </c>
      <c r="C90" s="128"/>
    </row>
    <row r="91" spans="1:3" ht="28.8" outlineLevel="1" x14ac:dyDescent="0.3">
      <c r="A91" s="128" t="s">
        <v>542</v>
      </c>
      <c r="B91" s="128" t="str">
        <f>"Can only be requested from a min. total NWO contribution of "&amp;TEXT(prog_mngmt_threshold_amount,"€ #.#")&amp;"."</f>
        <v>Can only be requested from a min. total NWO contribution of € .</v>
      </c>
      <c r="C91" s="128"/>
    </row>
    <row r="92" spans="1:3" ht="43.2" outlineLevel="1" x14ac:dyDescent="0.3">
      <c r="A92" s="128" t="s">
        <v>543</v>
      </c>
      <c r="B92" s="128" t="str">
        <f>"Total amount for Programme management exceeds limit of "&amp;TEXT(prog_mngmt_max_amount_perc,"#%")&amp;" of NWO budget."</f>
        <v>Total amount for Programme management exceeds limit of % of NWO budget.</v>
      </c>
      <c r="C92" s="128"/>
    </row>
    <row r="93" spans="1:3" outlineLevel="1" x14ac:dyDescent="0.3">
      <c r="A93" s="128" t="s">
        <v>666</v>
      </c>
      <c r="B93" s="128" t="b">
        <f>IF(cofunding_inkind_def_rates="yes","Type of in-kind co-funding not specified."&amp;"")</f>
        <v>0</v>
      </c>
      <c r="C93" s="128"/>
    </row>
    <row r="94" spans="1:3" ht="28.8" outlineLevel="1" x14ac:dyDescent="0.3">
      <c r="A94" s="128" t="s">
        <v>671</v>
      </c>
      <c r="B94" s="128" t="s">
        <v>672</v>
      </c>
      <c r="C94" s="128"/>
    </row>
    <row r="95" spans="1:3" outlineLevel="1" x14ac:dyDescent="0.3">
      <c r="A95" s="128" t="s">
        <v>668</v>
      </c>
      <c r="B95" s="128" t="b">
        <f>IF(cofunding_inkind_def_rates="yes","Type rate not specified."&amp;"")</f>
        <v>0</v>
      </c>
      <c r="C95" s="128"/>
    </row>
    <row r="96" spans="1:3" outlineLevel="1" x14ac:dyDescent="0.3">
      <c r="A96" s="128" t="s">
        <v>604</v>
      </c>
      <c r="B96" s="128" t="str">
        <f>IF(cofunding_inkind_def_rates="yes","Hourly rates exceeds maximum rate of "&amp;TEXT(cofunding_max_rate,"€ #.#")&amp;".","")</f>
        <v/>
      </c>
      <c r="C96" s="128"/>
    </row>
    <row r="97" spans="1:5" ht="31.5" customHeight="1" outlineLevel="1" x14ac:dyDescent="0.3">
      <c r="A97" s="128" t="s">
        <v>544</v>
      </c>
      <c r="B97" s="128" t="str">
        <f>"Total in-cash co-funding lower than minimum of "&amp;TEXT(cash_cofunding_minperc,"#%")&amp;" of total project budget."</f>
        <v>Total in-cash co-funding lower than minimum of % of total project budget.</v>
      </c>
      <c r="C97" s="128"/>
    </row>
    <row r="98" spans="1:5" ht="81" customHeight="1" outlineLevel="1" x14ac:dyDescent="0.3">
      <c r="A98" s="128" t="s">
        <v>558</v>
      </c>
      <c r="B98" s="128" t="str">
        <f ca="1">"Total co-funding less than "&amp; TEXT(cofunding_min_perc,"#0%")&amp;" of total project budget, in excess of " &amp; TEXT(cofunding_threshold,"€ #.#0") &amp;" (= " &amp; TEXT(cofunding_min_perc*(Total_project_budget-cofunding_threshold),"€ #.#0")&amp;")."</f>
        <v>Total co-funding less than 0% of total project budget, in excess of € 0 (= € 0).</v>
      </c>
      <c r="C98" s="128"/>
    </row>
    <row r="99" spans="1:5" ht="28.8" outlineLevel="1" x14ac:dyDescent="0.3">
      <c r="A99" s="128" t="s">
        <v>545</v>
      </c>
      <c r="B99" s="128" t="str">
        <f>"Total co-funding does not meet minimum of "&amp;TEXT(cofunding_min_perc,"#%")&amp;" of the total project budget."</f>
        <v>Total co-funding does not meet minimum of % of the total project budget.</v>
      </c>
      <c r="C99" s="128"/>
    </row>
    <row r="100" spans="1:5" ht="28.8" outlineLevel="1" x14ac:dyDescent="0.3">
      <c r="A100" s="128" t="s">
        <v>569</v>
      </c>
      <c r="B100" s="128" t="str">
        <f>IFERROR("Co-funding from private organisation does not meet minimum of "&amp;TEXT(cofunding_private_minperc,"#%")&amp;".","")</f>
        <v>Co-funding from private organisation does not meet minimum of N/A.</v>
      </c>
      <c r="C100" s="128"/>
    </row>
    <row r="101" spans="1:5" ht="28.8" outlineLevel="1" x14ac:dyDescent="0.3">
      <c r="A101" s="128" t="s">
        <v>546</v>
      </c>
      <c r="B101" s="128" t="str">
        <f>"Total co-funding exceeds limit of "&amp;TEXT(cofunding_max_perc,"#%")&amp;" of the total project budget."</f>
        <v>Total co-funding exceeds limit of 49% of the total project budget.</v>
      </c>
      <c r="C101" s="128"/>
    </row>
    <row r="102" spans="1:5" x14ac:dyDescent="0.3">
      <c r="A102" s="128"/>
      <c r="B102" s="128"/>
    </row>
    <row r="103" spans="1:5" x14ac:dyDescent="0.3">
      <c r="A103" s="128"/>
      <c r="B103" s="128"/>
    </row>
    <row r="104" spans="1:5" x14ac:dyDescent="0.3">
      <c r="A104" s="128"/>
      <c r="B104" s="128"/>
    </row>
    <row r="105" spans="1:5" ht="18" x14ac:dyDescent="0.3">
      <c r="A105" s="129" t="s">
        <v>657</v>
      </c>
      <c r="B105" s="128"/>
    </row>
    <row r="106" spans="1:5" x14ac:dyDescent="0.3">
      <c r="A106"/>
      <c r="B106"/>
      <c r="C106"/>
      <c r="D106"/>
      <c r="E106"/>
    </row>
    <row r="107" spans="1:5" x14ac:dyDescent="0.3">
      <c r="A107"/>
      <c r="B107"/>
      <c r="C107"/>
      <c r="D107"/>
      <c r="E107"/>
    </row>
    <row r="108" spans="1:5" x14ac:dyDescent="0.3">
      <c r="A108" s="128"/>
      <c r="B108" s="128"/>
    </row>
    <row r="109" spans="1:5" x14ac:dyDescent="0.3">
      <c r="A109" s="128"/>
      <c r="B109" s="128"/>
    </row>
    <row r="110" spans="1:5" x14ac:dyDescent="0.3">
      <c r="A110" s="128"/>
      <c r="B110" s="128"/>
    </row>
    <row r="111" spans="1:5" x14ac:dyDescent="0.3">
      <c r="A111" s="128"/>
      <c r="B111" s="128"/>
    </row>
    <row r="112" spans="1:5" x14ac:dyDescent="0.3">
      <c r="A112" s="128"/>
      <c r="B112" s="128"/>
    </row>
    <row r="113" spans="1:30" x14ac:dyDescent="0.3">
      <c r="A113" s="128"/>
      <c r="B113" s="128"/>
    </row>
    <row r="114" spans="1:30" ht="18" x14ac:dyDescent="0.3">
      <c r="A114" s="129" t="s">
        <v>537</v>
      </c>
      <c r="B114" s="128"/>
    </row>
    <row r="115" spans="1:30" x14ac:dyDescent="0.3">
      <c r="H115" s="111" t="s">
        <v>737</v>
      </c>
    </row>
    <row r="116" spans="1:30" outlineLevel="1" x14ac:dyDescent="0.3">
      <c r="A116" s="111" t="s">
        <v>532</v>
      </c>
      <c r="B116" s="111" t="s">
        <v>536</v>
      </c>
      <c r="C116" s="111" t="s">
        <v>531</v>
      </c>
      <c r="D116" s="111" t="s">
        <v>660</v>
      </c>
      <c r="E116" s="111" t="s">
        <v>631</v>
      </c>
      <c r="F116" s="111" t="s">
        <v>727</v>
      </c>
      <c r="G116" s="111" t="s">
        <v>695</v>
      </c>
      <c r="H116" s="111" t="s">
        <v>736</v>
      </c>
      <c r="I116" s="111" t="s">
        <v>739</v>
      </c>
      <c r="J116" s="111" t="s">
        <v>740</v>
      </c>
      <c r="K116" s="111" t="s">
        <v>741</v>
      </c>
      <c r="L116" s="111" t="s">
        <v>742</v>
      </c>
      <c r="M116" s="111" t="s">
        <v>743</v>
      </c>
      <c r="N116" s="111" t="s">
        <v>833</v>
      </c>
      <c r="O116" s="111" t="s">
        <v>676</v>
      </c>
      <c r="P116" s="111" t="s">
        <v>677</v>
      </c>
      <c r="Q116" s="111" t="s">
        <v>726</v>
      </c>
      <c r="R116" s="111" t="s">
        <v>725</v>
      </c>
      <c r="S116" s="111" t="s">
        <v>534</v>
      </c>
      <c r="T116" s="111" t="s">
        <v>690</v>
      </c>
      <c r="U116" s="111" t="s">
        <v>535</v>
      </c>
      <c r="V116" s="111" t="s">
        <v>815</v>
      </c>
      <c r="W116" s="111" t="s">
        <v>816</v>
      </c>
      <c r="X116" s="111" t="s">
        <v>861</v>
      </c>
      <c r="Y116" s="111" t="s">
        <v>862</v>
      </c>
      <c r="Z116" s="111" t="s">
        <v>612</v>
      </c>
      <c r="AA116" s="111" t="s">
        <v>645</v>
      </c>
      <c r="AB116" s="111" t="s">
        <v>40</v>
      </c>
      <c r="AC116" s="111" t="s">
        <v>621</v>
      </c>
      <c r="AD116" s="111" t="s">
        <v>613</v>
      </c>
    </row>
    <row r="117" spans="1:30" outlineLevel="1" x14ac:dyDescent="0.3">
      <c r="A117" s="111">
        <v>1</v>
      </c>
      <c r="B117" s="111" t="str" cm="1">
        <f t="array" aca="1" ref="B117" ca="1">IFERROR(INDEX(personnel_ac_notes[[#This Row],[Exceeding nr months]:[Costs specified]],1,MATCH(TRUE,LEN(personnel_ac_notes[[#This Row],[Exceeding nr months]:[Costs specified]])&gt;0,0)),"")</f>
        <v/>
      </c>
      <c r="C117" s="111" t="str">
        <f>IFERROR(IF(INDEX(Personnel[Months],A117)&gt;Max_project_duration,$B$37,""),"")</f>
        <v/>
      </c>
      <c r="D117" s="111" t="str">
        <f>IFERROR(IF(AND(LEN(INDEX(Personnel[Category],A117))+LEN(INDEX(Personnel[FTE],A117))+LEN(INDEX(Personnel[Months],A117))&gt;0,LEN(INDEX(Personnel[Category],A117-1))+LEN(INDEX(Personnel[FTE],A117-1))+LEN(INDEX(Personnel[Months],A117-1))=0),$B$36,""),"")</f>
        <v/>
      </c>
      <c r="E117" s="111" t="str">
        <f>IF(AND(NOT(ISBLANK(INDEX(Personnel[Category],A117))),OR(ISBLANK(INDEX(Personnel[FTE],A117)),ISBLANK(INDEX(Personnel[Months],A117)))),VLOOKUP(INDEX(Personnel[Category],A117),salaries_academic[],2,FALSE),"")</f>
        <v/>
      </c>
      <c r="F117" s="111" t="str">
        <f>IF(AND(INDEX(Personnel[Organisation type],A117)=pers_int_listname,ISBLANK(INDEX(Personnel[Kolom1],A117))),"Provide country","")</f>
        <v/>
      </c>
      <c r="G117" s="111" t="str" cm="1">
        <f t="array" ref="G117">_xlfn.IFNA(IF(COUNTIF(Personnel[Category],INDEX(Personnel[Category],$A117))-INDEX(salaries_academic[max nr positions],MATCH(INDEX(Personnel[Category],$A117),salaries_academic[category],0))&gt;0,$B$40,""),"")</f>
        <v/>
      </c>
      <c r="H117" s="260" t="str" cm="1">
        <f t="array" ref="H117">IFERROR(IF(AND(COUNTIF(Personnel[Organisation type],pers_int_listname)&lt;pers_int_minpos,INDEX(Personnel[Organisation type],A117,1)=pers_int_listname),$B$64,""),"")</f>
        <v/>
      </c>
      <c r="I117" s="260" t="str" cm="1">
        <f t="array" ref="I117">IFERROR(IF(AND(COUNTIF(Personnel[Organisation type],pers_int_listname)&gt;pers_int_maxpos,INDEX(Personnel[Organisation type],A117,1)=pers_int_listname),$B$65,""),"")</f>
        <v/>
      </c>
      <c r="J117" s="260" t="str" cm="1">
        <f t="array" ref="J117">IFERROR(IF(AND(INDEX(Personnel[Organisation type],A117,1)=pers_int_listname,SUMIF(Personnel[Organisation type],pers_int_listname,Personnel[Amount])&lt;pers_int_minamount),$B$66,""),"")</f>
        <v/>
      </c>
      <c r="K117" s="260" t="str" cm="1">
        <f t="array" ref="K117">IFERROR(IF(AND(INDEX(Personnel[Organisation type],A117,1)=pers_int_listname,SUMIF(Personnel[Organisation type],pers_int_listname,Personnel[Amount])&gt;pers_int_maxamount),$B$67,""),"")</f>
        <v/>
      </c>
      <c r="L117" s="260" t="str" cm="1">
        <f t="array" aca="1" ref="L117" ca="1">IFERROR(IF(AND(INDEX(Personnel[Organisation type],A117,1)=pers_int_listname,SUMIF(Personnel[Organisation type],pers_int_listname,Personnel[Amount])&lt;pers_int_minperc*Total_NWO_funding),$B$68,""),"")</f>
        <v/>
      </c>
      <c r="M117" s="260" t="str" cm="1">
        <f t="array" aca="1" ref="M117" ca="1">IFERROR(IF(AND(INDEX(Personnel[Organisation type],A117,1)=pers_int_listname,SUMIF(Personnel[Organisation type],pers_int_listname,Personnel[Amount])&gt;pers_int_maxperc*Total_NWO_funding),$B$69,""),"")</f>
        <v/>
      </c>
      <c r="N117" s="308" t="str" cm="1">
        <f t="array" aca="1" ref="N117" ca="1">_xlfn.IFNA(INDEX(pers_abr_amount_org[Total amount/org],MATCH(INDEX(Personnel[Name organisation],A117,1),pers_abr_amount_org[Name org],0),1,0),"")</f>
        <v/>
      </c>
      <c r="O117" s="111" t="str">
        <f>IFERROR(IF(COUNTIF(INDEX(Personnel[Category],A117),"*- PhD*")&gt;0,IF(INDEX(Personnel[Months],A117)*INDEX(Personnel[FTE],A117)&lt;pers_PhD_min_months,$B$38,""),""),"")</f>
        <v/>
      </c>
      <c r="P117" s="111" t="str">
        <f>IFERROR(IF(COUNTIF(INDEX(Personnel[Category],$A117),"*- PhD*")&gt;0,IF(INDEX(Personnel[Months],$A117)*INDEX(Personnel[FTE],$A117)&gt;pers_PhD_max_months,$B$39,""),""),"")</f>
        <v/>
      </c>
      <c r="Q117" s="111" t="str">
        <f>IFERROR(IF(COUNTIF(INDEX(Personnel[Category],A117),"*EngD*")&gt;0,IF(OR(IFERROR(MATCH("*PhD*",Personnel[Category],0),0)&gt;0,IFERROR(MATCH("*PostDoc*",Personnel[Category],0),0)&gt;0),"",$B$43),""),"")</f>
        <v/>
      </c>
      <c r="R117" s="111" t="str">
        <f>IFERROR(IF(COUNTIF(INDEX(Personnel[Category],A117),"*EngD*")&gt;0,IF(INDEX(Personnel[Months],A117)*INDEX(Personnel[FTE],A117)&gt;pers_PDEng_max_months,$B$44,""),""),"")</f>
        <v/>
      </c>
      <c r="S117" s="111" t="str">
        <f>IFERROR(IF(COUNTIF(INDEX(Personnel[Category],A117),"*PostDoc*")&gt;0,IF(INDEX(Personnel[Months],A117)&lt;pers_PD_min_months,$B$45,""),""),"")</f>
        <v/>
      </c>
      <c r="T117" s="111" t="str">
        <f>IFERROR(IF(COUNTIF(INDEX(Personnel[Category],A117),"*PostDoc*")&gt;0,IF(INDEX(Personnel[FTE],A117)&lt;pers_PD_min_FTE,$B$46,""),""),"")</f>
        <v/>
      </c>
      <c r="U117" s="111" t="str">
        <f>IFERROR(IF(COUNTIF(INDEX(Personnel[Category],A117),"*PostDoc*")&gt;0,IF(INDEX(Personnel[Months],A117)*INDEX(Personnel[FTE],A117)&gt;pers_PD_max_months,$B$47,""),""),"")</f>
        <v/>
      </c>
      <c r="V117" s="111" t="str">
        <f>IFERROR(IF(COUNTIF(INDEX(Personnel[Category],A117),"*hysici*")&gt;0,IF(INDEX(Personnel[Months],A117)*INDEX(Personnel[FTE],A117)&lt;pers_phy_res_min_months,$B$48,""),""),"")</f>
        <v/>
      </c>
      <c r="W117" s="111" t="str">
        <f>IFERROR(IF(COUNTIF(INDEX(Personnel[Category],A117),"*hysici*")&gt;0,IF(INDEX(Personnel[Months],A117)*INDEX(Personnel[FTE],A117)&gt;pers_phy_res_max_months,$B$49,""),""),"")</f>
        <v/>
      </c>
      <c r="X117" s="111" t="str" cm="1">
        <f t="array" ref="X117">IFERROR(IF(COUNTIF(INDEX(Personnel[Category],A117),"*Applicant*")&gt;0,IF(INDEX(Personnel[FTE],A117)&lt;0.4,$B$51,""),""),"")</f>
        <v/>
      </c>
      <c r="Y117" s="111" t="str" cm="1">
        <f t="array" ref="Y117">IFERROR(IF(COUNTIF(INDEX(Personnel[Category],A117),"*Applicant*")&gt;0,IF(AND(INDEX(Personnel[FTE],A117)=1,INDEX(Personnel[Months],A117)&gt;=37),$B$52,""),""),"")</f>
        <v/>
      </c>
      <c r="Z117" s="111" t="str">
        <f>IFERROR(IF(COUNTIF(INDEX(Personnel[Category],A117),"*leave*")&gt;0,IF(Total_Research_leave&gt;pers_leave_maxperc*Total_NWO_funding,$B$50,""),""),"")</f>
        <v/>
      </c>
      <c r="AA117" s="111" t="str">
        <f>IFERROR(IF(AND(INDEX(Personnel[Costs],A117)=0,INDEX(salaries_academic[[category]:[1]],MATCH(INDEX(Personnel[Category],A117),salaries_academic[category],0),3)=0),$B$55,""),"")</f>
        <v/>
      </c>
      <c r="AB117" s="111" t="str">
        <f>IF(AND(organisation_type="yes",INDEX(Personnel[Amount],A117,1)&lt;&gt;"",ISBLANK(INDEX(Personnel[Organisation type],A117,1))),$B$53,"")</f>
        <v/>
      </c>
      <c r="AC117" s="111" t="str">
        <f>IF(AND(organisation_name="yes",INDEX(Personnel[Amount],A117,1)&lt;&gt;"",ISBLANK(INDEX(Personnel[Name organisation],A117,1))),$B$54,"")</f>
        <v/>
      </c>
      <c r="AD117" s="111" t="str">
        <f>IFERROR(IF(AND(INDEX(Personnel[Costs],A117)&gt;0,NOT(INDEX(Personnel[Category],A117)=parameters!$A$83)),$B$56,""),"")</f>
        <v/>
      </c>
    </row>
    <row r="118" spans="1:30" outlineLevel="1" x14ac:dyDescent="0.3">
      <c r="A118" s="111">
        <v>2</v>
      </c>
      <c r="B118" s="111" t="str" cm="1">
        <f t="array" aca="1" ref="B118" ca="1">IFERROR(INDEX(personnel_ac_notes[[#This Row],[Exceeding nr months]:[Costs specified]],1,MATCH(TRUE,LEN(personnel_ac_notes[[#This Row],[Exceeding nr months]:[Costs specified]])&gt;0,0)),"")</f>
        <v/>
      </c>
      <c r="C118" s="111" t="str">
        <f>IFERROR(IF(INDEX(Personnel[Months],A118)&gt;Max_project_duration,$B$37,""),"")</f>
        <v/>
      </c>
      <c r="D118" s="111" t="str">
        <f>IFERROR(IF(AND(LEN(INDEX(Personnel[Category],A118))+LEN(INDEX(Personnel[FTE],A118))+LEN(INDEX(Personnel[Months],A118))&gt;0,LEN(INDEX(Personnel[Category],A118-1))+LEN(INDEX(Personnel[FTE],A118-1))+LEN(INDEX(Personnel[Months],A118-1))=0),$B$36,""),"")</f>
        <v/>
      </c>
      <c r="E118" s="111" t="str">
        <f>IF(AND(NOT(ISBLANK(INDEX(Personnel[Category],A118))),OR(ISBLANK(INDEX(Personnel[FTE],A118)),ISBLANK(INDEX(Personnel[Months],A118)))),VLOOKUP(INDEX(Personnel[Category],A118),salaries_academic[],2,FALSE),"")</f>
        <v/>
      </c>
      <c r="F118" s="111" t="str">
        <f>IF(AND(INDEX(Personnel[Organisation type],A118)=pers_int_listname,ISBLANK(INDEX(Personnel[Kolom1],A118))),"Provide country","")</f>
        <v/>
      </c>
      <c r="G118" s="111" t="str" cm="1">
        <f t="array" ref="G118">_xlfn.IFNA(IF(COUNTIF(Personnel[Category],INDEX(Personnel[Category],$A118))-INDEX(salaries_academic[max nr positions],MATCH(INDEX(Personnel[Category],$A118),salaries_academic[category],0))&gt;0,$B$40,""),"")</f>
        <v/>
      </c>
      <c r="H118" s="260" t="str" cm="1">
        <f t="array" ref="H118">IFERROR(IF(AND(COUNTIF(Personnel[Organisation type],pers_int_listname)&lt;pers_int_minpos,INDEX(Personnel[Organisation type],A118,1)=pers_int_listname),$B$64,""),"")</f>
        <v/>
      </c>
      <c r="I118" s="260" t="str" cm="1">
        <f t="array" ref="I118">IFERROR(IF(AND(COUNTIF(Personnel[Organisation type],pers_int_listname)&gt;pers_int_maxpos,INDEX(Personnel[Organisation type],A118,1)=pers_int_listname),$B$65,""),"")</f>
        <v/>
      </c>
      <c r="J118" s="260" t="str" cm="1">
        <f t="array" ref="J118">IFERROR(IF(AND(INDEX(Personnel[Organisation type],A118,1)=pers_int_listname,SUMIF(Personnel[Organisation type],pers_int_listname,Personnel[Amount])&lt;pers_int_minamount),$B$66,""),"")</f>
        <v/>
      </c>
      <c r="K118" s="260" t="str" cm="1">
        <f t="array" ref="K118">IFERROR(IF(AND(INDEX(Personnel[Organisation type],A118,1)=pers_int_listname,SUMIF(Personnel[Organisation type],pers_int_listname,Personnel[Amount])&gt;pers_int_maxamount),$B$67,""),"")</f>
        <v/>
      </c>
      <c r="L118" s="260" t="str" cm="1">
        <f t="array" aca="1" ref="L118" ca="1">IFERROR(IF(AND(INDEX(Personnel[Organisation type],A118,1)=pers_int_listname,SUMIF(Personnel[Organisation type],pers_int_listname,Personnel[Amount])&lt;pers_int_minperc*Total_NWO_funding),$B$68,""),"")</f>
        <v/>
      </c>
      <c r="M118" s="260" t="str" cm="1">
        <f t="array" aca="1" ref="M118" ca="1">IFERROR(IF(AND(INDEX(Personnel[Organisation type],A118,1)=pers_int_listname,SUMIF(Personnel[Organisation type],pers_int_listname,Personnel[Amount])&gt;pers_int_maxperc*Total_NWO_funding),$B$69,""),"")</f>
        <v/>
      </c>
      <c r="N118" s="308" t="str" cm="1">
        <f t="array" aca="1" ref="N118" ca="1">_xlfn.IFNA(INDEX(pers_abr_amount_org[Total amount/org],MATCH(INDEX(Personnel[Name organisation],A118,1),pers_abr_amount_org[Name org],0),1,0),"")</f>
        <v/>
      </c>
      <c r="O118" s="111" t="str">
        <f>IFERROR(IF(COUNTIF(INDEX(Personnel[Category],A118),"*- PhD*")&gt;0,IF(INDEX(Personnel[Months],A118)*INDEX(Personnel[FTE],A118)&lt;pers_PhD_min_months,$B$38,""),""),"")</f>
        <v/>
      </c>
      <c r="P118" s="111" t="str">
        <f>IFERROR(IF(COUNTIF(INDEX(Personnel[Category],$A118),"*- PhD*")&gt;0,IF(INDEX(Personnel[Months],$A118)*INDEX(Personnel[FTE],$A118)&gt;pers_PhD_max_months,$B$39,""),""),"")</f>
        <v/>
      </c>
      <c r="Q118" s="111" t="str">
        <f>IFERROR(IF(COUNTIF(INDEX(Personnel[Category],A118),"*EngD*")&gt;0,IF(OR(IFERROR(MATCH("*PhD*",Personnel[Category],0),0)&gt;0,IFERROR(MATCH("*PostDoc*",Personnel[Category],0),0)&gt;0),"",$B$43),""),"")</f>
        <v/>
      </c>
      <c r="R118" s="111" t="str">
        <f>IFERROR(IF(COUNTIF(INDEX(Personnel[Category],A118),"*EngD*")&gt;0,IF(INDEX(Personnel[Months],A118)*INDEX(Personnel[FTE],A118)&gt;pers_PDEng_max_months,$B$44,""),""),"")</f>
        <v/>
      </c>
      <c r="S118" s="111" t="str">
        <f>IFERROR(IF(COUNTIF(INDEX(Personnel[Category],A118),"*PostDoc*")&gt;0,IF(INDEX(Personnel[Months],A118)&lt;pers_PD_min_months,$B$45,""),""),"")</f>
        <v/>
      </c>
      <c r="T118" s="111" t="str">
        <f>IFERROR(IF(COUNTIF(INDEX(Personnel[Category],A118),"*PostDoc*")&gt;0,IF(INDEX(Personnel[FTE],A118)&lt;pers_PD_min_FTE,$B$46,""),""),"")</f>
        <v/>
      </c>
      <c r="U118" s="111" t="str">
        <f>IFERROR(IF(COUNTIF(INDEX(Personnel[Category],A118),"*PostDoc*")&gt;0,IF(INDEX(Personnel[Months],A118)*INDEX(Personnel[FTE],A118)&gt;pers_PD_max_months,$B$47,""),""),"")</f>
        <v/>
      </c>
      <c r="V118" s="111" t="str">
        <f>IFERROR(IF(COUNTIF(INDEX(Personnel[Category],A118),"*hysici*")&gt;0,IF(INDEX(Personnel[Months],A118)*INDEX(Personnel[FTE],A118)&lt;pers_phy_res_min_months,$B$48,""),""),"")</f>
        <v/>
      </c>
      <c r="W118" s="111" t="str">
        <f>IFERROR(IF(COUNTIF(INDEX(Personnel[Category],A118),"*hysici*")&gt;0,IF(INDEX(Personnel[Months],A118)*INDEX(Personnel[FTE],A118)&gt;pers_phy_res_max_months,$B$49,""),""),"")</f>
        <v/>
      </c>
      <c r="X118" s="111" t="str" cm="1">
        <f t="array" ref="X118">IFERROR(IF(COUNTIF(INDEX(Personnel[Category],A118),"*Applicant*")&gt;0,IF(INDEX(Personnel[FTE],A118)&lt;0.4,$B$51,""),""),"")</f>
        <v/>
      </c>
      <c r="Y118" s="111" t="str" cm="1">
        <f t="array" ref="Y118">IFERROR(IF(COUNTIF(INDEX(Personnel[Category],A118),"*Applicant*")&gt;0,IF(AND(INDEX(Personnel[FTE],A118)=1,INDEX(Personnel[Months],A118)&gt;=37),$B$52,""),""),"")</f>
        <v/>
      </c>
      <c r="Z118" s="111" t="str">
        <f>IFERROR(IF(COUNTIF(INDEX(Personnel[Category],A118),"*leave*")&gt;0,IF(Total_Research_leave&gt;pers_leave_maxperc*Total_NWO_funding,$B$50,""),""),"")</f>
        <v/>
      </c>
      <c r="AA118" s="111" t="str">
        <f>IFERROR(IF(AND(INDEX(Personnel[Costs],A118)=0,INDEX(salaries_academic[[category]:[1]],MATCH(INDEX(Personnel[Category],A118),salaries_academic[category],0),3)=0),$B$55,""),"")</f>
        <v/>
      </c>
      <c r="AB118" s="111" t="str">
        <f>IF(AND(organisation_type="yes",INDEX(Personnel[Amount],A118,1)&lt;&gt;"",ISBLANK(INDEX(Personnel[Organisation type],A118,1))),$B$53,"")</f>
        <v/>
      </c>
      <c r="AC118" s="111" t="str">
        <f>IF(AND(organisation_name="yes",INDEX(Personnel[Amount],A118,1)&lt;&gt;"",ISBLANK(INDEX(Personnel[Name organisation],A118,1))),$B$54,"")</f>
        <v/>
      </c>
      <c r="AD118" s="111" t="str">
        <f>IFERROR(IF(AND(INDEX(Personnel[Costs],A118)&gt;0,NOT(INDEX(Personnel[Category],A118)=parameters!$A$83)),$B$56,""),"")</f>
        <v/>
      </c>
    </row>
    <row r="119" spans="1:30" outlineLevel="1" x14ac:dyDescent="0.3">
      <c r="A119" s="111">
        <v>3</v>
      </c>
      <c r="B119" s="111" t="str" cm="1">
        <f t="array" aca="1" ref="B119" ca="1">IFERROR(INDEX(personnel_ac_notes[[#This Row],[Exceeding nr months]:[Costs specified]],1,MATCH(TRUE,LEN(personnel_ac_notes[[#This Row],[Exceeding nr months]:[Costs specified]])&gt;0,0)),"")</f>
        <v/>
      </c>
      <c r="C119" s="111" t="str">
        <f>IFERROR(IF(INDEX(Personnel[Months],A119)&gt;Max_project_duration,$B$37,""),"")</f>
        <v/>
      </c>
      <c r="D119" s="111" t="str">
        <f>IFERROR(IF(AND(LEN(INDEX(Personnel[Category],A119))+LEN(INDEX(Personnel[FTE],A119))+LEN(INDEX(Personnel[Months],A119))&gt;0,LEN(INDEX(Personnel[Category],A119-1))+LEN(INDEX(Personnel[FTE],A119-1))+LEN(INDEX(Personnel[Months],A119-1))=0),$B$36,""),"")</f>
        <v/>
      </c>
      <c r="E119" s="111" t="str">
        <f>IF(AND(NOT(ISBLANK(INDEX(Personnel[Category],A119))),OR(ISBLANK(INDEX(Personnel[FTE],A119)),ISBLANK(INDEX(Personnel[Months],A119)))),VLOOKUP(INDEX(Personnel[Category],A119),salaries_academic[],2,FALSE),"")</f>
        <v/>
      </c>
      <c r="F119" s="111" t="str">
        <f>IF(AND(INDEX(Personnel[Organisation type],A119)=pers_int_listname,ISBLANK(INDEX(Personnel[Kolom1],A119))),"Provide country","")</f>
        <v/>
      </c>
      <c r="G119" s="111" t="str" cm="1">
        <f t="array" ref="G119">_xlfn.IFNA(IF(COUNTIF(Personnel[Category],INDEX(Personnel[Category],$A119))-INDEX(salaries_academic[max nr positions],MATCH(INDEX(Personnel[Category],$A119),salaries_academic[category],0))&gt;0,$B$40,""),"")</f>
        <v/>
      </c>
      <c r="H119" s="260" t="str" cm="1">
        <f t="array" ref="H119">IFERROR(IF(AND(COUNTIF(Personnel[Organisation type],pers_int_listname)&lt;pers_int_minpos,INDEX(Personnel[Organisation type],A119,1)=pers_int_listname),$B$64,""),"")</f>
        <v/>
      </c>
      <c r="I119" s="260" t="str" cm="1">
        <f t="array" ref="I119">IFERROR(IF(AND(COUNTIF(Personnel[Organisation type],pers_int_listname)&gt;pers_int_maxpos,INDEX(Personnel[Organisation type],A119,1)=pers_int_listname),$B$65,""),"")</f>
        <v/>
      </c>
      <c r="J119" s="260" t="str" cm="1">
        <f t="array" ref="J119">IFERROR(IF(AND(INDEX(Personnel[Organisation type],A119,1)=pers_int_listname,SUMIF(Personnel[Organisation type],pers_int_listname,Personnel[Amount])&lt;pers_int_minamount),$B$66,""),"")</f>
        <v/>
      </c>
      <c r="K119" s="260" t="str" cm="1">
        <f t="array" ref="K119">IFERROR(IF(AND(INDEX(Personnel[Organisation type],A119,1)=pers_int_listname,SUMIF(Personnel[Organisation type],pers_int_listname,Personnel[Amount])&gt;pers_int_maxamount),$B$67,""),"")</f>
        <v/>
      </c>
      <c r="L119" s="260" t="str" cm="1">
        <f t="array" aca="1" ref="L119" ca="1">IFERROR(IF(AND(INDEX(Personnel[Organisation type],A119,1)=pers_int_listname,SUMIF(Personnel[Organisation type],pers_int_listname,Personnel[Amount])&lt;pers_int_minperc*Total_NWO_funding),$B$68,""),"")</f>
        <v/>
      </c>
      <c r="M119" s="260" t="str" cm="1">
        <f t="array" aca="1" ref="M119" ca="1">IFERROR(IF(AND(INDEX(Personnel[Organisation type],A119,1)=pers_int_listname,SUMIF(Personnel[Organisation type],pers_int_listname,Personnel[Amount])&gt;pers_int_maxperc*Total_NWO_funding),$B$69,""),"")</f>
        <v/>
      </c>
      <c r="N119" s="308" t="str" cm="1">
        <f t="array" aca="1" ref="N119" ca="1">_xlfn.IFNA(INDEX(pers_abr_amount_org[Total amount/org],MATCH(INDEX(Personnel[Name organisation],A119,1),pers_abr_amount_org[Name org],0),1,0),"")</f>
        <v/>
      </c>
      <c r="O119" s="111" t="str">
        <f>IFERROR(IF(COUNTIF(INDEX(Personnel[Category],A119),"*- PhD*")&gt;0,IF(INDEX(Personnel[Months],A119)*INDEX(Personnel[FTE],A119)&lt;pers_PhD_min_months,$B$38,""),""),"")</f>
        <v/>
      </c>
      <c r="P119" s="111" t="str">
        <f>IFERROR(IF(COUNTIF(INDEX(Personnel[Category],$A119),"*- PhD*")&gt;0,IF(INDEX(Personnel[Months],$A119)*INDEX(Personnel[FTE],$A119)&gt;pers_PhD_max_months,$B$39,""),""),"")</f>
        <v/>
      </c>
      <c r="Q119" s="111" t="str">
        <f>IFERROR(IF(COUNTIF(INDEX(Personnel[Category],A119),"*EngD*")&gt;0,IF(OR(IFERROR(MATCH("*PhD*",Personnel[Category],0),0)&gt;0,IFERROR(MATCH("*PostDoc*",Personnel[Category],0),0)&gt;0),"",$B$43),""),"")</f>
        <v/>
      </c>
      <c r="R119" s="111" t="str">
        <f>IFERROR(IF(COUNTIF(INDEX(Personnel[Category],A119),"*EngD*")&gt;0,IF(INDEX(Personnel[Months],A119)*INDEX(Personnel[FTE],A119)&gt;pers_PDEng_max_months,$B$44,""),""),"")</f>
        <v/>
      </c>
      <c r="S119" s="111" t="str">
        <f>IFERROR(IF(COUNTIF(INDEX(Personnel[Category],A119),"*PostDoc*")&gt;0,IF(INDEX(Personnel[Months],A119)&lt;pers_PD_min_months,$B$45,""),""),"")</f>
        <v/>
      </c>
      <c r="T119" s="111" t="str">
        <f>IFERROR(IF(COUNTIF(INDEX(Personnel[Category],A119),"*PostDoc*")&gt;0,IF(INDEX(Personnel[FTE],A119)&lt;pers_PD_min_FTE,$B$46,""),""),"")</f>
        <v/>
      </c>
      <c r="U119" s="111" t="str">
        <f>IFERROR(IF(COUNTIF(INDEX(Personnel[Category],A119),"*PostDoc*")&gt;0,IF(INDEX(Personnel[Months],A119)*INDEX(Personnel[FTE],A119)&gt;pers_PD_max_months,$B$47,""),""),"")</f>
        <v/>
      </c>
      <c r="V119" s="111" t="str">
        <f>IFERROR(IF(COUNTIF(INDEX(Personnel[Category],A119),"*hysici*")&gt;0,IF(INDEX(Personnel[Months],A119)*INDEX(Personnel[FTE],A119)&lt;pers_phy_res_min_months,$B$48,""),""),"")</f>
        <v/>
      </c>
      <c r="W119" s="111" t="str">
        <f>IFERROR(IF(COUNTIF(INDEX(Personnel[Category],A119),"*hysici*")&gt;0,IF(INDEX(Personnel[Months],A119)*INDEX(Personnel[FTE],A119)&gt;pers_phy_res_max_months,$B$49,""),""),"")</f>
        <v/>
      </c>
      <c r="X119" s="111" t="str" cm="1">
        <f t="array" ref="X119">IFERROR(IF(COUNTIF(INDEX(Personnel[Category],A119),"*Applicant*")&gt;0,IF(INDEX(Personnel[FTE],A119)&lt;0.4,$B$51,""),""),"")</f>
        <v/>
      </c>
      <c r="Y119" s="111" t="str" cm="1">
        <f t="array" ref="Y119">IFERROR(IF(COUNTIF(INDEX(Personnel[Category],A119),"*Applicant*")&gt;0,IF(AND(INDEX(Personnel[FTE],A119)=1,INDEX(Personnel[Months],A119)&gt;=37),$B$52,""),""),"")</f>
        <v/>
      </c>
      <c r="Z119" s="111" t="str">
        <f>IFERROR(IF(COUNTIF(INDEX(Personnel[Category],A119),"*leave*")&gt;0,IF(Total_Research_leave&gt;pers_leave_maxperc*Total_NWO_funding,$B$50,""),""),"")</f>
        <v/>
      </c>
      <c r="AA119" s="111" t="str">
        <f>IFERROR(IF(AND(INDEX(Personnel[Costs],A119)=0,INDEX(salaries_academic[[category]:[1]],MATCH(INDEX(Personnel[Category],A119),salaries_academic[category],0),3)=0),$B$55,""),"")</f>
        <v/>
      </c>
      <c r="AB119" s="111" t="str">
        <f>IF(AND(organisation_type="yes",INDEX(Personnel[Amount],A119,1)&lt;&gt;"",ISBLANK(INDEX(Personnel[Organisation type],A119,1))),$B$53,"")</f>
        <v/>
      </c>
      <c r="AC119" s="111" t="str">
        <f>IF(AND(organisation_name="yes",INDEX(Personnel[Amount],A119,1)&lt;&gt;"",ISBLANK(INDEX(Personnel[Name organisation],A119,1))),$B$54,"")</f>
        <v/>
      </c>
      <c r="AD119" s="111" t="str">
        <f>IFERROR(IF(AND(INDEX(Personnel[Costs],A119)&gt;0,NOT(INDEX(Personnel[Category],A119)=parameters!$A$83)),$B$56,""),"")</f>
        <v/>
      </c>
    </row>
    <row r="120" spans="1:30" outlineLevel="1" x14ac:dyDescent="0.3">
      <c r="A120" s="111">
        <v>4</v>
      </c>
      <c r="B120" s="111" t="str" cm="1">
        <f t="array" aca="1" ref="B120" ca="1">IFERROR(INDEX(personnel_ac_notes[[#This Row],[Exceeding nr months]:[Costs specified]],1,MATCH(TRUE,LEN(personnel_ac_notes[[#This Row],[Exceeding nr months]:[Costs specified]])&gt;0,0)),"")</f>
        <v/>
      </c>
      <c r="C120" s="111" t="str">
        <f>IFERROR(IF(INDEX(Personnel[Months],A120)&gt;Max_project_duration,$B$37,""),"")</f>
        <v/>
      </c>
      <c r="D120" s="111" t="str">
        <f>IFERROR(IF(AND(LEN(INDEX(Personnel[Category],A120))+LEN(INDEX(Personnel[FTE],A120))+LEN(INDEX(Personnel[Months],A120))&gt;0,LEN(INDEX(Personnel[Category],A120-1))+LEN(INDEX(Personnel[FTE],A120-1))+LEN(INDEX(Personnel[Months],A120-1))=0),$B$36,""),"")</f>
        <v/>
      </c>
      <c r="E120" s="111" t="str">
        <f>IF(AND(NOT(ISBLANK(INDEX(Personnel[Category],A120))),OR(ISBLANK(INDEX(Personnel[FTE],A120)),ISBLANK(INDEX(Personnel[Months],A120)))),VLOOKUP(INDEX(Personnel[Category],A120),salaries_academic[],2,FALSE),"")</f>
        <v/>
      </c>
      <c r="F120" s="111" t="str">
        <f>IF(AND(INDEX(Personnel[Organisation type],A120)=pers_int_listname,ISBLANK(INDEX(Personnel[Kolom1],A120))),"Provide country","")</f>
        <v/>
      </c>
      <c r="G120" s="111" t="str" cm="1">
        <f t="array" ref="G120">_xlfn.IFNA(IF(COUNTIF(Personnel[Category],INDEX(Personnel[Category],$A120))-INDEX(salaries_academic[max nr positions],MATCH(INDEX(Personnel[Category],$A120),salaries_academic[category],0))&gt;0,$B$40,""),"")</f>
        <v/>
      </c>
      <c r="H120" s="260" t="str" cm="1">
        <f t="array" ref="H120">IFERROR(IF(AND(COUNTIF(Personnel[Organisation type],pers_int_listname)&lt;pers_int_minpos,INDEX(Personnel[Organisation type],A120,1)=pers_int_listname),$B$64,""),"")</f>
        <v/>
      </c>
      <c r="I120" s="260" t="str" cm="1">
        <f t="array" ref="I120">IFERROR(IF(AND(COUNTIF(Personnel[Organisation type],pers_int_listname)&gt;pers_int_maxpos,INDEX(Personnel[Organisation type],A120,1)=pers_int_listname),$B$65,""),"")</f>
        <v/>
      </c>
      <c r="J120" s="260" t="str" cm="1">
        <f t="array" ref="J120">IFERROR(IF(AND(INDEX(Personnel[Organisation type],A120,1)=pers_int_listname,SUMIF(Personnel[Organisation type],pers_int_listname,Personnel[Amount])&lt;pers_int_minamount),$B$66,""),"")</f>
        <v/>
      </c>
      <c r="K120" s="260" t="str" cm="1">
        <f t="array" ref="K120">IFERROR(IF(AND(INDEX(Personnel[Organisation type],A120,1)=pers_int_listname,SUMIF(Personnel[Organisation type],pers_int_listname,Personnel[Amount])&gt;pers_int_maxamount),$B$67,""),"")</f>
        <v/>
      </c>
      <c r="L120" s="260" t="str" cm="1">
        <f t="array" aca="1" ref="L120" ca="1">IFERROR(IF(AND(INDEX(Personnel[Organisation type],A120,1)=pers_int_listname,SUMIF(Personnel[Organisation type],pers_int_listname,Personnel[Amount])&lt;pers_int_minperc*Total_NWO_funding),$B$68,""),"")</f>
        <v/>
      </c>
      <c r="M120" s="260" t="str" cm="1">
        <f t="array" aca="1" ref="M120" ca="1">IFERROR(IF(AND(INDEX(Personnel[Organisation type],A120,1)=pers_int_listname,SUMIF(Personnel[Organisation type],pers_int_listname,Personnel[Amount])&gt;pers_int_maxperc*Total_NWO_funding),$B$69,""),"")</f>
        <v/>
      </c>
      <c r="N120" s="308" t="str" cm="1">
        <f t="array" aca="1" ref="N120" ca="1">_xlfn.IFNA(INDEX(pers_abr_amount_org[Total amount/org],MATCH(INDEX(Personnel[Name organisation],A120,1),pers_abr_amount_org[Name org],0),1,0),"")</f>
        <v/>
      </c>
      <c r="O120" s="111" t="str">
        <f>IFERROR(IF(COUNTIF(INDEX(Personnel[Category],A120),"*- PhD*")&gt;0,IF(INDEX(Personnel[Months],A120)*INDEX(Personnel[FTE],A120)&lt;pers_PhD_min_months,$B$38,""),""),"")</f>
        <v/>
      </c>
      <c r="P120" s="111" t="str">
        <f>IFERROR(IF(COUNTIF(INDEX(Personnel[Category],$A120),"*- PhD*")&gt;0,IF(INDEX(Personnel[Months],$A120)*INDEX(Personnel[FTE],$A120)&gt;pers_PhD_max_months,$B$39,""),""),"")</f>
        <v/>
      </c>
      <c r="Q120" s="111" t="str">
        <f>IFERROR(IF(COUNTIF(INDEX(Personnel[Category],A120),"*EngD*")&gt;0,IF(OR(IFERROR(MATCH("*PhD*",Personnel[Category],0),0)&gt;0,IFERROR(MATCH("*PostDoc*",Personnel[Category],0),0)&gt;0),"",$B$43),""),"")</f>
        <v/>
      </c>
      <c r="R120" s="111" t="str">
        <f>IFERROR(IF(COUNTIF(INDEX(Personnel[Category],A120),"*EngD*")&gt;0,IF(INDEX(Personnel[Months],A120)*INDEX(Personnel[FTE],A120)&gt;pers_PDEng_max_months,$B$44,""),""),"")</f>
        <v/>
      </c>
      <c r="S120" s="111" t="str">
        <f>IFERROR(IF(COUNTIF(INDEX(Personnel[Category],A120),"*PostDoc*")&gt;0,IF(INDEX(Personnel[Months],A120)&lt;pers_PD_min_months,$B$45,""),""),"")</f>
        <v/>
      </c>
      <c r="T120" s="111" t="str">
        <f>IFERROR(IF(COUNTIF(INDEX(Personnel[Category],A120),"*PostDoc*")&gt;0,IF(INDEX(Personnel[FTE],A120)&lt;pers_PD_min_FTE,$B$46,""),""),"")</f>
        <v/>
      </c>
      <c r="U120" s="111" t="str">
        <f>IFERROR(IF(COUNTIF(INDEX(Personnel[Category],A120),"*PostDoc*")&gt;0,IF(INDEX(Personnel[Months],A120)*INDEX(Personnel[FTE],A120)&gt;pers_PD_max_months,$B$47,""),""),"")</f>
        <v/>
      </c>
      <c r="V120" s="111" t="str">
        <f>IFERROR(IF(COUNTIF(INDEX(Personnel[Category],A120),"*hysici*")&gt;0,IF(INDEX(Personnel[Months],A120)*INDEX(Personnel[FTE],A120)&lt;pers_phy_res_min_months,$B$48,""),""),"")</f>
        <v/>
      </c>
      <c r="W120" s="111" t="str">
        <f>IFERROR(IF(COUNTIF(INDEX(Personnel[Category],A120),"*hysici*")&gt;0,IF(INDEX(Personnel[Months],A120)*INDEX(Personnel[FTE],A120)&gt;pers_phy_res_max_months,$B$49,""),""),"")</f>
        <v/>
      </c>
      <c r="X120" s="111" t="str" cm="1">
        <f t="array" ref="X120">IFERROR(IF(COUNTIF(INDEX(Personnel[Category],A120),"*Applicant*")&gt;0,IF(INDEX(Personnel[FTE],A120)&lt;0.4,$B$51,""),""),"")</f>
        <v/>
      </c>
      <c r="Y120" s="111" t="str" cm="1">
        <f t="array" ref="Y120">IFERROR(IF(COUNTIF(INDEX(Personnel[Category],A120),"*Applicant*")&gt;0,IF(AND(INDEX(Personnel[FTE],A120)=1,INDEX(Personnel[Months],A120)&gt;=37),$B$52,""),""),"")</f>
        <v/>
      </c>
      <c r="Z120" s="111" t="str">
        <f>IFERROR(IF(COUNTIF(INDEX(Personnel[Category],A120),"*leave*")&gt;0,IF(Total_Research_leave&gt;pers_leave_maxperc*Total_NWO_funding,$B$50,""),""),"")</f>
        <v/>
      </c>
      <c r="AA120" s="111" t="str">
        <f>IFERROR(IF(AND(INDEX(Personnel[Costs],A120)=0,INDEX(salaries_academic[[category]:[1]],MATCH(INDEX(Personnel[Category],A120),salaries_academic[category],0),3)=0),$B$55,""),"")</f>
        <v/>
      </c>
      <c r="AB120" s="111" t="str">
        <f>IF(AND(organisation_type="yes",INDEX(Personnel[Amount],A120,1)&lt;&gt;"",ISBLANK(INDEX(Personnel[Organisation type],A120,1))),$B$53,"")</f>
        <v/>
      </c>
      <c r="AC120" s="111" t="str">
        <f>IF(AND(organisation_name="yes",INDEX(Personnel[Amount],A120,1)&lt;&gt;"",ISBLANK(INDEX(Personnel[Name organisation],A120,1))),$B$54,"")</f>
        <v/>
      </c>
      <c r="AD120" s="111" t="str">
        <f>IFERROR(IF(AND(INDEX(Personnel[Costs],A120)&gt;0,NOT(INDEX(Personnel[Category],A120)=parameters!$A$83)),$B$56,""),"")</f>
        <v/>
      </c>
    </row>
    <row r="121" spans="1:30" outlineLevel="1" x14ac:dyDescent="0.3">
      <c r="A121" s="111">
        <v>5</v>
      </c>
      <c r="B121" s="111" t="str" cm="1">
        <f t="array" aca="1" ref="B121" ca="1">IFERROR(INDEX(personnel_ac_notes[[#This Row],[Exceeding nr months]:[Costs specified]],1,MATCH(TRUE,LEN(personnel_ac_notes[[#This Row],[Exceeding nr months]:[Costs specified]])&gt;0,0)),"")</f>
        <v/>
      </c>
      <c r="C121" s="111" t="str">
        <f>IFERROR(IF(INDEX(Personnel[Months],A121)&gt;Max_project_duration,$B$37,""),"")</f>
        <v/>
      </c>
      <c r="D121" s="111" t="str">
        <f>IFERROR(IF(AND(LEN(INDEX(Personnel[Category],A121))+LEN(INDEX(Personnel[FTE],A121))+LEN(INDEX(Personnel[Months],A121))&gt;0,LEN(INDEX(Personnel[Category],A121-1))+LEN(INDEX(Personnel[FTE],A121-1))+LEN(INDEX(Personnel[Months],A121-1))=0),$B$36,""),"")</f>
        <v/>
      </c>
      <c r="E121" s="111" t="str">
        <f>IF(AND(NOT(ISBLANK(INDEX(Personnel[Category],A121))),OR(ISBLANK(INDEX(Personnel[FTE],A121)),ISBLANK(INDEX(Personnel[Months],A121)))),VLOOKUP(INDEX(Personnel[Category],A121),salaries_academic[],2,FALSE),"")</f>
        <v/>
      </c>
      <c r="F121" s="111" t="str">
        <f>IF(AND(INDEX(Personnel[Organisation type],A121)=pers_int_listname,ISBLANK(INDEX(Personnel[Kolom1],A121))),"Provide country","")</f>
        <v/>
      </c>
      <c r="G121" s="111" t="str" cm="1">
        <f t="array" ref="G121">_xlfn.IFNA(IF(COUNTIF(Personnel[Category],INDEX(Personnel[Category],$A121))-INDEX(salaries_academic[max nr positions],MATCH(INDEX(Personnel[Category],$A121),salaries_academic[category],0))&gt;0,$B$40,""),"")</f>
        <v/>
      </c>
      <c r="H121" s="260" t="str" cm="1">
        <f t="array" ref="H121">IFERROR(IF(AND(COUNTIF(Personnel[Organisation type],pers_int_listname)&lt;pers_int_minpos,INDEX(Personnel[Organisation type],A121,1)=pers_int_listname),$B$64,""),"")</f>
        <v/>
      </c>
      <c r="I121" s="260" t="str" cm="1">
        <f t="array" ref="I121">IFERROR(IF(AND(COUNTIF(Personnel[Organisation type],pers_int_listname)&gt;pers_int_maxpos,INDEX(Personnel[Organisation type],A121,1)=pers_int_listname),$B$65,""),"")</f>
        <v/>
      </c>
      <c r="J121" s="260" t="str" cm="1">
        <f t="array" ref="J121">IFERROR(IF(AND(INDEX(Personnel[Organisation type],A121,1)=pers_int_listname,SUMIF(Personnel[Organisation type],pers_int_listname,Personnel[Amount])&lt;pers_int_minamount),$B$66,""),"")</f>
        <v/>
      </c>
      <c r="K121" s="260" t="str" cm="1">
        <f t="array" ref="K121">IFERROR(IF(AND(INDEX(Personnel[Organisation type],A121,1)=pers_int_listname,SUMIF(Personnel[Organisation type],pers_int_listname,Personnel[Amount])&gt;pers_int_maxamount),$B$67,""),"")</f>
        <v/>
      </c>
      <c r="L121" s="260" t="str" cm="1">
        <f t="array" aca="1" ref="L121" ca="1">IFERROR(IF(AND(INDEX(Personnel[Organisation type],A121,1)=pers_int_listname,SUMIF(Personnel[Organisation type],pers_int_listname,Personnel[Amount])&lt;pers_int_minperc*Total_NWO_funding),$B$68,""),"")</f>
        <v/>
      </c>
      <c r="M121" s="260" t="str" cm="1">
        <f t="array" aca="1" ref="M121" ca="1">IFERROR(IF(AND(INDEX(Personnel[Organisation type],A121,1)=pers_int_listname,SUMIF(Personnel[Organisation type],pers_int_listname,Personnel[Amount])&gt;pers_int_maxperc*Total_NWO_funding),$B$69,""),"")</f>
        <v/>
      </c>
      <c r="N121" s="308" t="str" cm="1">
        <f t="array" aca="1" ref="N121" ca="1">_xlfn.IFNA(INDEX(pers_abr_amount_org[Total amount/org],MATCH(INDEX(Personnel[Name organisation],A121,1),pers_abr_amount_org[Name org],0),1,0),"")</f>
        <v/>
      </c>
      <c r="O121" s="111" t="str">
        <f>IFERROR(IF(COUNTIF(INDEX(Personnel[Category],A121),"*- PhD*")&gt;0,IF(INDEX(Personnel[Months],A121)*INDEX(Personnel[FTE],A121)&lt;pers_PhD_min_months,$B$38,""),""),"")</f>
        <v/>
      </c>
      <c r="P121" s="111" t="str">
        <f>IFERROR(IF(COUNTIF(INDEX(Personnel[Category],$A121),"*- PhD*")&gt;0,IF(INDEX(Personnel[Months],$A121)*INDEX(Personnel[FTE],$A121)&gt;pers_PhD_max_months,$B$39,""),""),"")</f>
        <v/>
      </c>
      <c r="Q121" s="111" t="str">
        <f>IFERROR(IF(COUNTIF(INDEX(Personnel[Category],A121),"*EngD*")&gt;0,IF(OR(IFERROR(MATCH("*PhD*",Personnel[Category],0),0)&gt;0,IFERROR(MATCH("*PostDoc*",Personnel[Category],0),0)&gt;0),"",$B$43),""),"")</f>
        <v/>
      </c>
      <c r="R121" s="111" t="str">
        <f>IFERROR(IF(COUNTIF(INDEX(Personnel[Category],A121),"*EngD*")&gt;0,IF(INDEX(Personnel[Months],A121)*INDEX(Personnel[FTE],A121)&gt;pers_PDEng_max_months,$B$44,""),""),"")</f>
        <v/>
      </c>
      <c r="S121" s="111" t="str">
        <f>IFERROR(IF(COUNTIF(INDEX(Personnel[Category],A121),"*PostDoc*")&gt;0,IF(INDEX(Personnel[Months],A121)&lt;pers_PD_min_months,$B$45,""),""),"")</f>
        <v/>
      </c>
      <c r="T121" s="111" t="str">
        <f>IFERROR(IF(COUNTIF(INDEX(Personnel[Category],A121),"*PostDoc*")&gt;0,IF(INDEX(Personnel[FTE],A121)&lt;pers_PD_min_FTE,$B$46,""),""),"")</f>
        <v/>
      </c>
      <c r="U121" s="111" t="str">
        <f>IFERROR(IF(COUNTIF(INDEX(Personnel[Category],A121),"*PostDoc*")&gt;0,IF(INDEX(Personnel[Months],A121)*INDEX(Personnel[FTE],A121)&gt;pers_PD_max_months,$B$47,""),""),"")</f>
        <v/>
      </c>
      <c r="V121" s="111" t="str">
        <f>IFERROR(IF(COUNTIF(INDEX(Personnel[Category],A121),"*hysici*")&gt;0,IF(INDEX(Personnel[Months],A121)*INDEX(Personnel[FTE],A121)&lt;pers_phy_res_min_months,$B$48,""),""),"")</f>
        <v/>
      </c>
      <c r="W121" s="111" t="str">
        <f>IFERROR(IF(COUNTIF(INDEX(Personnel[Category],A121),"*hysici*")&gt;0,IF(INDEX(Personnel[Months],A121)*INDEX(Personnel[FTE],A121)&gt;pers_phy_res_max_months,$B$49,""),""),"")</f>
        <v/>
      </c>
      <c r="X121" s="111" t="str" cm="1">
        <f t="array" ref="X121">IFERROR(IF(COUNTIF(INDEX(Personnel[Category],A121),"*Applicant*")&gt;0,IF(INDEX(Personnel[FTE],A121)&lt;0.4,$B$51,""),""),"")</f>
        <v/>
      </c>
      <c r="Y121" s="111" t="str" cm="1">
        <f t="array" ref="Y121">IFERROR(IF(COUNTIF(INDEX(Personnel[Category],A121),"*Applicant*")&gt;0,IF(AND(INDEX(Personnel[FTE],A121)=1,INDEX(Personnel[Months],A121)&gt;=37),$B$52,""),""),"")</f>
        <v/>
      </c>
      <c r="Z121" s="111" t="str">
        <f>IFERROR(IF(COUNTIF(INDEX(Personnel[Category],A121),"*leave*")&gt;0,IF(Total_Research_leave&gt;pers_leave_maxperc*Total_NWO_funding,$B$50,""),""),"")</f>
        <v/>
      </c>
      <c r="AA121" s="111" t="str">
        <f>IFERROR(IF(AND(INDEX(Personnel[Costs],A121)=0,INDEX(salaries_academic[[category]:[1]],MATCH(INDEX(Personnel[Category],A121),salaries_academic[category],0),3)=0),$B$55,""),"")</f>
        <v/>
      </c>
      <c r="AB121" s="111" t="str">
        <f>IF(AND(organisation_type="yes",INDEX(Personnel[Amount],A121,1)&lt;&gt;"",ISBLANK(INDEX(Personnel[Organisation type],A121,1))),$B$53,"")</f>
        <v/>
      </c>
      <c r="AC121" s="111" t="str">
        <f>IF(AND(organisation_name="yes",INDEX(Personnel[Amount],A121,1)&lt;&gt;"",ISBLANK(INDEX(Personnel[Name organisation],A121,1))),$B$54,"")</f>
        <v/>
      </c>
      <c r="AD121" s="111" t="str">
        <f>IFERROR(IF(AND(INDEX(Personnel[Costs],A121)&gt;0,NOT(INDEX(Personnel[Category],A121)=parameters!$A$83)),$B$56,""),"")</f>
        <v/>
      </c>
    </row>
    <row r="122" spans="1:30" outlineLevel="1" x14ac:dyDescent="0.3">
      <c r="A122" s="111">
        <v>6</v>
      </c>
      <c r="B122" s="111" t="str" cm="1">
        <f t="array" aca="1" ref="B122" ca="1">IFERROR(INDEX(personnel_ac_notes[[#This Row],[Exceeding nr months]:[Costs specified]],1,MATCH(TRUE,LEN(personnel_ac_notes[[#This Row],[Exceeding nr months]:[Costs specified]])&gt;0,0)),"")</f>
        <v/>
      </c>
      <c r="C122" s="111" t="str">
        <f>IFERROR(IF(INDEX(Personnel[Months],A122)&gt;Max_project_duration,$B$37,""),"")</f>
        <v/>
      </c>
      <c r="D122" s="111" t="str">
        <f>IFERROR(IF(AND(LEN(INDEX(Personnel[Category],A122))+LEN(INDEX(Personnel[FTE],A122))+LEN(INDEX(Personnel[Months],A122))&gt;0,LEN(INDEX(Personnel[Category],A122-1))+LEN(INDEX(Personnel[FTE],A122-1))+LEN(INDEX(Personnel[Months],A122-1))=0),$B$36,""),"")</f>
        <v/>
      </c>
      <c r="E122" s="111" t="str">
        <f>IF(AND(NOT(ISBLANK(INDEX(Personnel[Category],A122))),OR(ISBLANK(INDEX(Personnel[FTE],A122)),ISBLANK(INDEX(Personnel[Months],A122)))),VLOOKUP(INDEX(Personnel[Category],A122),salaries_academic[],2,FALSE),"")</f>
        <v/>
      </c>
      <c r="F122" s="111" t="str">
        <f>IF(AND(INDEX(Personnel[Organisation type],A122)=pers_int_listname,ISBLANK(INDEX(Personnel[Kolom1],A122))),"Provide country","")</f>
        <v/>
      </c>
      <c r="G122" s="111" t="str" cm="1">
        <f t="array" ref="G122">_xlfn.IFNA(IF(COUNTIF(Personnel[Category],INDEX(Personnel[Category],$A122))-INDEX(salaries_academic[max nr positions],MATCH(INDEX(Personnel[Category],$A122),salaries_academic[category],0))&gt;0,$B$40,""),"")</f>
        <v/>
      </c>
      <c r="H122" s="260" t="str" cm="1">
        <f t="array" ref="H122">IFERROR(IF(AND(COUNTIF(Personnel[Organisation type],pers_int_listname)&lt;pers_int_minpos,INDEX(Personnel[Organisation type],A122,1)=pers_int_listname),$B$64,""),"")</f>
        <v/>
      </c>
      <c r="I122" s="260" t="str" cm="1">
        <f t="array" ref="I122">IFERROR(IF(AND(COUNTIF(Personnel[Organisation type],pers_int_listname)&gt;pers_int_maxpos,INDEX(Personnel[Organisation type],A122,1)=pers_int_listname),$B$65,""),"")</f>
        <v/>
      </c>
      <c r="J122" s="260" t="str" cm="1">
        <f t="array" ref="J122">IFERROR(IF(AND(INDEX(Personnel[Organisation type],A122,1)=pers_int_listname,SUMIF(Personnel[Organisation type],pers_int_listname,Personnel[Amount])&lt;pers_int_minamount),$B$66,""),"")</f>
        <v/>
      </c>
      <c r="K122" s="260" t="str" cm="1">
        <f t="array" ref="K122">IFERROR(IF(AND(INDEX(Personnel[Organisation type],A122,1)=pers_int_listname,SUMIF(Personnel[Organisation type],pers_int_listname,Personnel[Amount])&gt;pers_int_maxamount),$B$67,""),"")</f>
        <v/>
      </c>
      <c r="L122" s="260" t="str" cm="1">
        <f t="array" aca="1" ref="L122" ca="1">IFERROR(IF(AND(INDEX(Personnel[Organisation type],A122,1)=pers_int_listname,SUMIF(Personnel[Organisation type],pers_int_listname,Personnel[Amount])&lt;pers_int_minperc*Total_NWO_funding),$B$68,""),"")</f>
        <v/>
      </c>
      <c r="M122" s="260" t="str" cm="1">
        <f t="array" aca="1" ref="M122" ca="1">IFERROR(IF(AND(INDEX(Personnel[Organisation type],A122,1)=pers_int_listname,SUMIF(Personnel[Organisation type],pers_int_listname,Personnel[Amount])&gt;pers_int_maxperc*Total_NWO_funding),$B$69,""),"")</f>
        <v/>
      </c>
      <c r="N122" s="308" t="str" cm="1">
        <f t="array" aca="1" ref="N122" ca="1">_xlfn.IFNA(INDEX(pers_abr_amount_org[Total amount/org],MATCH(INDEX(Personnel[Name organisation],A122,1),pers_abr_amount_org[Name org],0),1,0),"")</f>
        <v/>
      </c>
      <c r="O122" s="111" t="str">
        <f>IFERROR(IF(COUNTIF(INDEX(Personnel[Category],A122),"*- PhD*")&gt;0,IF(INDEX(Personnel[Months],A122)*INDEX(Personnel[FTE],A122)&lt;pers_PhD_min_months,$B$38,""),""),"")</f>
        <v/>
      </c>
      <c r="P122" s="111" t="str">
        <f>IFERROR(IF(COUNTIF(INDEX(Personnel[Category],$A122),"*- PhD*")&gt;0,IF(INDEX(Personnel[Months],$A122)*INDEX(Personnel[FTE],$A122)&gt;pers_PhD_max_months,$B$39,""),""),"")</f>
        <v/>
      </c>
      <c r="Q122" s="111" t="str">
        <f>IFERROR(IF(COUNTIF(INDEX(Personnel[Category],A122),"*EngD*")&gt;0,IF(OR(IFERROR(MATCH("*PhD*",Personnel[Category],0),0)&gt;0,IFERROR(MATCH("*PostDoc*",Personnel[Category],0),0)&gt;0),"",$B$43),""),"")</f>
        <v/>
      </c>
      <c r="R122" s="111" t="str">
        <f>IFERROR(IF(COUNTIF(INDEX(Personnel[Category],A122),"*EngD*")&gt;0,IF(INDEX(Personnel[Months],A122)*INDEX(Personnel[FTE],A122)&gt;pers_PDEng_max_months,$B$44,""),""),"")</f>
        <v/>
      </c>
      <c r="S122" s="111" t="str">
        <f>IFERROR(IF(COUNTIF(INDEX(Personnel[Category],A122),"*PostDoc*")&gt;0,IF(INDEX(Personnel[Months],A122)&lt;pers_PD_min_months,$B$45,""),""),"")</f>
        <v/>
      </c>
      <c r="T122" s="111" t="str">
        <f>IFERROR(IF(COUNTIF(INDEX(Personnel[Category],A122),"*PostDoc*")&gt;0,IF(INDEX(Personnel[FTE],A122)&lt;pers_PD_min_FTE,$B$46,""),""),"")</f>
        <v/>
      </c>
      <c r="U122" s="111" t="str">
        <f>IFERROR(IF(COUNTIF(INDEX(Personnel[Category],A122),"*PostDoc*")&gt;0,IF(INDEX(Personnel[Months],A122)*INDEX(Personnel[FTE],A122)&gt;pers_PD_max_months,$B$47,""),""),"")</f>
        <v/>
      </c>
      <c r="V122" s="111" t="str">
        <f>IFERROR(IF(COUNTIF(INDEX(Personnel[Category],A122),"*hysici*")&gt;0,IF(INDEX(Personnel[Months],A122)*INDEX(Personnel[FTE],A122)&lt;pers_phy_res_min_months,$B$48,""),""),"")</f>
        <v/>
      </c>
      <c r="W122" s="111" t="str">
        <f>IFERROR(IF(COUNTIF(INDEX(Personnel[Category],A122),"*hysici*")&gt;0,IF(INDEX(Personnel[Months],A122)*INDEX(Personnel[FTE],A122)&gt;pers_phy_res_max_months,$B$49,""),""),"")</f>
        <v/>
      </c>
      <c r="X122" s="111" t="str" cm="1">
        <f t="array" ref="X122">IFERROR(IF(COUNTIF(INDEX(Personnel[Category],A122),"*Applicant*")&gt;0,IF(INDEX(Personnel[FTE],A122)&lt;0.4,$B$51,""),""),"")</f>
        <v/>
      </c>
      <c r="Y122" s="111" t="str" cm="1">
        <f t="array" ref="Y122">IFERROR(IF(COUNTIF(INDEX(Personnel[Category],A122),"*Applicant*")&gt;0,IF(AND(INDEX(Personnel[FTE],A122)=1,INDEX(Personnel[Months],A122)&gt;=37),$B$52,""),""),"")</f>
        <v/>
      </c>
      <c r="Z122" s="111" t="str">
        <f>IFERROR(IF(COUNTIF(INDEX(Personnel[Category],A122),"*leave*")&gt;0,IF(Total_Research_leave&gt;pers_leave_maxperc*Total_NWO_funding,$B$50,""),""),"")</f>
        <v/>
      </c>
      <c r="AA122" s="111" t="str">
        <f>IFERROR(IF(AND(INDEX(Personnel[Costs],A122)=0,INDEX(salaries_academic[[category]:[1]],MATCH(INDEX(Personnel[Category],A122),salaries_academic[category],0),3)=0),$B$55,""),"")</f>
        <v/>
      </c>
      <c r="AB122" s="111" t="str">
        <f>IF(AND(organisation_type="yes",INDEX(Personnel[Amount],A122,1)&lt;&gt;"",ISBLANK(INDEX(Personnel[Organisation type],A122,1))),$B$53,"")</f>
        <v/>
      </c>
      <c r="AC122" s="111" t="str">
        <f>IF(AND(organisation_name="yes",INDEX(Personnel[Amount],A122,1)&lt;&gt;"",ISBLANK(INDEX(Personnel[Name organisation],A122,1))),$B$54,"")</f>
        <v/>
      </c>
      <c r="AD122" s="111" t="str">
        <f>IFERROR(IF(AND(INDEX(Personnel[Costs],A122)&gt;0,NOT(INDEX(Personnel[Category],A122)=parameters!$A$83)),$B$56,""),"")</f>
        <v/>
      </c>
    </row>
    <row r="123" spans="1:30" outlineLevel="1" x14ac:dyDescent="0.3">
      <c r="A123" s="111">
        <v>7</v>
      </c>
      <c r="B123" s="111" t="str" cm="1">
        <f t="array" aca="1" ref="B123" ca="1">IFERROR(INDEX(personnel_ac_notes[[#This Row],[Exceeding nr months]:[Costs specified]],1,MATCH(TRUE,LEN(personnel_ac_notes[[#This Row],[Exceeding nr months]:[Costs specified]])&gt;0,0)),"")</f>
        <v/>
      </c>
      <c r="C123" s="111" t="str">
        <f>IFERROR(IF(INDEX(Personnel[Months],A123)&gt;Max_project_duration,$B$37,""),"")</f>
        <v/>
      </c>
      <c r="D123" s="111" t="str">
        <f>IFERROR(IF(AND(LEN(INDEX(Personnel[Category],A123))+LEN(INDEX(Personnel[FTE],A123))+LEN(INDEX(Personnel[Months],A123))&gt;0,LEN(INDEX(Personnel[Category],A123-1))+LEN(INDEX(Personnel[FTE],A123-1))+LEN(INDEX(Personnel[Months],A123-1))=0),$B$36,""),"")</f>
        <v/>
      </c>
      <c r="E123" s="111" t="str">
        <f>IF(AND(NOT(ISBLANK(INDEX(Personnel[Category],A123))),OR(ISBLANK(INDEX(Personnel[FTE],A123)),ISBLANK(INDEX(Personnel[Months],A123)))),VLOOKUP(INDEX(Personnel[Category],A123),salaries_academic[],2,FALSE),"")</f>
        <v/>
      </c>
      <c r="F123" s="111" t="str">
        <f>IF(AND(INDEX(Personnel[Organisation type],A123)=pers_int_listname,ISBLANK(INDEX(Personnel[Kolom1],A123))),"Provide country","")</f>
        <v/>
      </c>
      <c r="G123" s="111" t="str" cm="1">
        <f t="array" ref="G123">_xlfn.IFNA(IF(COUNTIF(Personnel[Category],INDEX(Personnel[Category],$A123))-INDEX(salaries_academic[max nr positions],MATCH(INDEX(Personnel[Category],$A123),salaries_academic[category],0))&gt;0,$B$40,""),"")</f>
        <v/>
      </c>
      <c r="H123" s="260" t="str" cm="1">
        <f t="array" ref="H123">IFERROR(IF(AND(COUNTIF(Personnel[Organisation type],pers_int_listname)&lt;pers_int_minpos,INDEX(Personnel[Organisation type],A123,1)=pers_int_listname),$B$64,""),"")</f>
        <v/>
      </c>
      <c r="I123" s="260" t="str" cm="1">
        <f t="array" ref="I123">IFERROR(IF(AND(COUNTIF(Personnel[Organisation type],pers_int_listname)&gt;pers_int_maxpos,INDEX(Personnel[Organisation type],A123,1)=pers_int_listname),$B$65,""),"")</f>
        <v/>
      </c>
      <c r="J123" s="260" t="str" cm="1">
        <f t="array" ref="J123">IFERROR(IF(AND(INDEX(Personnel[Organisation type],A123,1)=pers_int_listname,SUMIF(Personnel[Organisation type],pers_int_listname,Personnel[Amount])&lt;pers_int_minamount),$B$66,""),"")</f>
        <v/>
      </c>
      <c r="K123" s="260" t="str" cm="1">
        <f t="array" ref="K123">IFERROR(IF(AND(INDEX(Personnel[Organisation type],A123,1)=pers_int_listname,SUMIF(Personnel[Organisation type],pers_int_listname,Personnel[Amount])&gt;pers_int_maxamount),$B$67,""),"")</f>
        <v/>
      </c>
      <c r="L123" s="260" t="str" cm="1">
        <f t="array" aca="1" ref="L123" ca="1">IFERROR(IF(AND(INDEX(Personnel[Organisation type],A123,1)=pers_int_listname,SUMIF(Personnel[Organisation type],pers_int_listname,Personnel[Amount])&lt;pers_int_minperc*Total_NWO_funding),$B$68,""),"")</f>
        <v/>
      </c>
      <c r="M123" s="260" t="str" cm="1">
        <f t="array" aca="1" ref="M123" ca="1">IFERROR(IF(AND(INDEX(Personnel[Organisation type],A123,1)=pers_int_listname,SUMIF(Personnel[Organisation type],pers_int_listname,Personnel[Amount])&gt;pers_int_maxperc*Total_NWO_funding),$B$69,""),"")</f>
        <v/>
      </c>
      <c r="N123" s="308" t="str" cm="1">
        <f t="array" aca="1" ref="N123" ca="1">_xlfn.IFNA(INDEX(pers_abr_amount_org[Total amount/org],MATCH(INDEX(Personnel[Name organisation],A123,1),pers_abr_amount_org[Name org],0),1,0),"")</f>
        <v/>
      </c>
      <c r="O123" s="111" t="str">
        <f>IFERROR(IF(COUNTIF(INDEX(Personnel[Category],A123),"*- PhD*")&gt;0,IF(INDEX(Personnel[Months],A123)*INDEX(Personnel[FTE],A123)&lt;pers_PhD_min_months,$B$38,""),""),"")</f>
        <v/>
      </c>
      <c r="P123" s="111" t="str">
        <f>IFERROR(IF(COUNTIF(INDEX(Personnel[Category],$A123),"*- PhD*")&gt;0,IF(INDEX(Personnel[Months],$A123)*INDEX(Personnel[FTE],$A123)&gt;pers_PhD_max_months,$B$39,""),""),"")</f>
        <v/>
      </c>
      <c r="Q123" s="111" t="str">
        <f>IFERROR(IF(COUNTIF(INDEX(Personnel[Category],A123),"*EngD*")&gt;0,IF(OR(IFERROR(MATCH("*PhD*",Personnel[Category],0),0)&gt;0,IFERROR(MATCH("*PostDoc*",Personnel[Category],0),0)&gt;0),"",$B$43),""),"")</f>
        <v/>
      </c>
      <c r="R123" s="111" t="str">
        <f>IFERROR(IF(COUNTIF(INDEX(Personnel[Category],A123),"*EngD*")&gt;0,IF(INDEX(Personnel[Months],A123)*INDEX(Personnel[FTE],A123)&gt;pers_PDEng_max_months,$B$44,""),""),"")</f>
        <v/>
      </c>
      <c r="S123" s="111" t="str">
        <f>IFERROR(IF(COUNTIF(INDEX(Personnel[Category],A123),"*PostDoc*")&gt;0,IF(INDEX(Personnel[Months],A123)&lt;pers_PD_min_months,$B$45,""),""),"")</f>
        <v/>
      </c>
      <c r="T123" s="111" t="str">
        <f>IFERROR(IF(COUNTIF(INDEX(Personnel[Category],A123),"*PostDoc*")&gt;0,IF(INDEX(Personnel[FTE],A123)&lt;pers_PD_min_FTE,$B$46,""),""),"")</f>
        <v/>
      </c>
      <c r="U123" s="111" t="str">
        <f>IFERROR(IF(COUNTIF(INDEX(Personnel[Category],A123),"*PostDoc*")&gt;0,IF(INDEX(Personnel[Months],A123)*INDEX(Personnel[FTE],A123)&gt;pers_PD_max_months,$B$47,""),""),"")</f>
        <v/>
      </c>
      <c r="V123" s="111" t="str">
        <f>IFERROR(IF(COUNTIF(INDEX(Personnel[Category],A123),"*hysici*")&gt;0,IF(INDEX(Personnel[Months],A123)*INDEX(Personnel[FTE],A123)&lt;pers_phy_res_min_months,$B$48,""),""),"")</f>
        <v/>
      </c>
      <c r="W123" s="111" t="str">
        <f>IFERROR(IF(COUNTIF(INDEX(Personnel[Category],A123),"*hysici*")&gt;0,IF(INDEX(Personnel[Months],A123)*INDEX(Personnel[FTE],A123)&gt;pers_phy_res_max_months,$B$49,""),""),"")</f>
        <v/>
      </c>
      <c r="X123" s="111" t="str" cm="1">
        <f t="array" ref="X123">IFERROR(IF(COUNTIF(INDEX(Personnel[Category],A123),"*Applicant*")&gt;0,IF(INDEX(Personnel[FTE],A123)&lt;0.4,$B$51,""),""),"")</f>
        <v/>
      </c>
      <c r="Y123" s="111" t="str" cm="1">
        <f t="array" ref="Y123">IFERROR(IF(COUNTIF(INDEX(Personnel[Category],A123),"*Applicant*")&gt;0,IF(AND(INDEX(Personnel[FTE],A123)=1,INDEX(Personnel[Months],A123)&gt;=37),$B$52,""),""),"")</f>
        <v/>
      </c>
      <c r="Z123" s="111" t="str">
        <f>IFERROR(IF(COUNTIF(INDEX(Personnel[Category],A123),"*leave*")&gt;0,IF(Total_Research_leave&gt;pers_leave_maxperc*Total_NWO_funding,$B$50,""),""),"")</f>
        <v/>
      </c>
      <c r="AA123" s="111" t="str">
        <f>IFERROR(IF(AND(INDEX(Personnel[Costs],A123)=0,INDEX(salaries_academic[[category]:[1]],MATCH(INDEX(Personnel[Category],A123),salaries_academic[category],0),3)=0),$B$55,""),"")</f>
        <v/>
      </c>
      <c r="AB123" s="111" t="str">
        <f>IF(AND(organisation_type="yes",INDEX(Personnel[Amount],A123,1)&lt;&gt;"",ISBLANK(INDEX(Personnel[Organisation type],A123,1))),$B$53,"")</f>
        <v/>
      </c>
      <c r="AC123" s="111" t="str">
        <f>IF(AND(organisation_name="yes",INDEX(Personnel[Amount],A123,1)&lt;&gt;"",ISBLANK(INDEX(Personnel[Name organisation],A123,1))),$B$54,"")</f>
        <v/>
      </c>
      <c r="AD123" s="111" t="str">
        <f>IFERROR(IF(AND(INDEX(Personnel[Costs],A123)&gt;0,NOT(INDEX(Personnel[Category],A123)=parameters!$A$83)),$B$56,""),"")</f>
        <v/>
      </c>
    </row>
    <row r="124" spans="1:30" outlineLevel="1" x14ac:dyDescent="0.3">
      <c r="A124" s="111">
        <v>8</v>
      </c>
      <c r="B124" s="111" t="str" cm="1">
        <f t="array" aca="1" ref="B124" ca="1">IFERROR(INDEX(personnel_ac_notes[[#This Row],[Exceeding nr months]:[Costs specified]],1,MATCH(TRUE,LEN(personnel_ac_notes[[#This Row],[Exceeding nr months]:[Costs specified]])&gt;0,0)),"")</f>
        <v/>
      </c>
      <c r="C124" s="111" t="str">
        <f>IFERROR(IF(INDEX(Personnel[Months],A124)&gt;Max_project_duration,$B$37,""),"")</f>
        <v/>
      </c>
      <c r="D124" s="111" t="str">
        <f>IFERROR(IF(AND(LEN(INDEX(Personnel[Category],A124))+LEN(INDEX(Personnel[FTE],A124))+LEN(INDEX(Personnel[Months],A124))&gt;0,LEN(INDEX(Personnel[Category],A124-1))+LEN(INDEX(Personnel[FTE],A124-1))+LEN(INDEX(Personnel[Months],A124-1))=0),$B$36,""),"")</f>
        <v/>
      </c>
      <c r="E124" s="111" t="str">
        <f>IF(AND(NOT(ISBLANK(INDEX(Personnel[Category],A124))),OR(ISBLANK(INDEX(Personnel[FTE],A124)),ISBLANK(INDEX(Personnel[Months],A124)))),VLOOKUP(INDEX(Personnel[Category],A124),salaries_academic[],2,FALSE),"")</f>
        <v/>
      </c>
      <c r="F124" s="111" t="str">
        <f>IF(AND(INDEX(Personnel[Organisation type],A124)=pers_int_listname,ISBLANK(INDEX(Personnel[Kolom1],A124))),"Provide country","")</f>
        <v/>
      </c>
      <c r="G124" s="111" t="str" cm="1">
        <f t="array" ref="G124">_xlfn.IFNA(IF(COUNTIF(Personnel[Category],INDEX(Personnel[Category],$A124))-INDEX(salaries_academic[max nr positions],MATCH(INDEX(Personnel[Category],$A124),salaries_academic[category],0))&gt;0,$B$40,""),"")</f>
        <v/>
      </c>
      <c r="H124" s="260" t="str" cm="1">
        <f t="array" ref="H124">IFERROR(IF(AND(COUNTIF(Personnel[Organisation type],pers_int_listname)&lt;pers_int_minpos,INDEX(Personnel[Organisation type],A124,1)=pers_int_listname),$B$64,""),"")</f>
        <v/>
      </c>
      <c r="I124" s="260" t="str" cm="1">
        <f t="array" ref="I124">IFERROR(IF(AND(COUNTIF(Personnel[Organisation type],pers_int_listname)&gt;pers_int_maxpos,INDEX(Personnel[Organisation type],A124,1)=pers_int_listname),$B$65,""),"")</f>
        <v/>
      </c>
      <c r="J124" s="260" t="str" cm="1">
        <f t="array" ref="J124">IFERROR(IF(AND(INDEX(Personnel[Organisation type],A124,1)=pers_int_listname,SUMIF(Personnel[Organisation type],pers_int_listname,Personnel[Amount])&lt;pers_int_minamount),$B$66,""),"")</f>
        <v/>
      </c>
      <c r="K124" s="260" t="str" cm="1">
        <f t="array" ref="K124">IFERROR(IF(AND(INDEX(Personnel[Organisation type],A124,1)=pers_int_listname,SUMIF(Personnel[Organisation type],pers_int_listname,Personnel[Amount])&gt;pers_int_maxamount),$B$67,""),"")</f>
        <v/>
      </c>
      <c r="L124" s="260" t="str" cm="1">
        <f t="array" aca="1" ref="L124" ca="1">IFERROR(IF(AND(INDEX(Personnel[Organisation type],A124,1)=pers_int_listname,SUMIF(Personnel[Organisation type],pers_int_listname,Personnel[Amount])&lt;pers_int_minperc*Total_NWO_funding),$B$68,""),"")</f>
        <v/>
      </c>
      <c r="M124" s="260" t="str" cm="1">
        <f t="array" aca="1" ref="M124" ca="1">IFERROR(IF(AND(INDEX(Personnel[Organisation type],A124,1)=pers_int_listname,SUMIF(Personnel[Organisation type],pers_int_listname,Personnel[Amount])&gt;pers_int_maxperc*Total_NWO_funding),$B$69,""),"")</f>
        <v/>
      </c>
      <c r="N124" s="308" t="str" cm="1">
        <f t="array" aca="1" ref="N124" ca="1">_xlfn.IFNA(INDEX(pers_abr_amount_org[Total amount/org],MATCH(INDEX(Personnel[Name organisation],A124,1),pers_abr_amount_org[Name org],0),1,0),"")</f>
        <v/>
      </c>
      <c r="O124" s="111" t="str">
        <f>IFERROR(IF(COUNTIF(INDEX(Personnel[Category],A124),"*- PhD*")&gt;0,IF(INDEX(Personnel[Months],A124)*INDEX(Personnel[FTE],A124)&lt;pers_PhD_min_months,$B$38,""),""),"")</f>
        <v/>
      </c>
      <c r="P124" s="111" t="str">
        <f>IFERROR(IF(COUNTIF(INDEX(Personnel[Category],$A124),"*- PhD*")&gt;0,IF(INDEX(Personnel[Months],$A124)*INDEX(Personnel[FTE],$A124)&gt;pers_PhD_max_months,$B$39,""),""),"")</f>
        <v/>
      </c>
      <c r="Q124" s="111" t="str">
        <f>IFERROR(IF(COUNTIF(INDEX(Personnel[Category],A124),"*EngD*")&gt;0,IF(OR(IFERROR(MATCH("*PhD*",Personnel[Category],0),0)&gt;0,IFERROR(MATCH("*PostDoc*",Personnel[Category],0),0)&gt;0),"",$B$43),""),"")</f>
        <v/>
      </c>
      <c r="R124" s="111" t="str">
        <f>IFERROR(IF(COUNTIF(INDEX(Personnel[Category],A124),"*EngD*")&gt;0,IF(INDEX(Personnel[Months],A124)*INDEX(Personnel[FTE],A124)&gt;pers_PDEng_max_months,$B$44,""),""),"")</f>
        <v/>
      </c>
      <c r="S124" s="111" t="str">
        <f>IFERROR(IF(COUNTIF(INDEX(Personnel[Category],A124),"*PostDoc*")&gt;0,IF(INDEX(Personnel[Months],A124)&lt;pers_PD_min_months,$B$45,""),""),"")</f>
        <v/>
      </c>
      <c r="T124" s="111" t="str">
        <f>IFERROR(IF(COUNTIF(INDEX(Personnel[Category],A124),"*PostDoc*")&gt;0,IF(INDEX(Personnel[FTE],A124)&lt;pers_PD_min_FTE,$B$46,""),""),"")</f>
        <v/>
      </c>
      <c r="U124" s="111" t="str">
        <f>IFERROR(IF(COUNTIF(INDEX(Personnel[Category],A124),"*PostDoc*")&gt;0,IF(INDEX(Personnel[Months],A124)*INDEX(Personnel[FTE],A124)&gt;pers_PD_max_months,$B$47,""),""),"")</f>
        <v/>
      </c>
      <c r="V124" s="111" t="str">
        <f>IFERROR(IF(COUNTIF(INDEX(Personnel[Category],A124),"*hysici*")&gt;0,IF(INDEX(Personnel[Months],A124)*INDEX(Personnel[FTE],A124)&lt;pers_phy_res_min_months,$B$48,""),""),"")</f>
        <v/>
      </c>
      <c r="W124" s="111" t="str">
        <f>IFERROR(IF(COUNTIF(INDEX(Personnel[Category],A124),"*hysici*")&gt;0,IF(INDEX(Personnel[Months],A124)*INDEX(Personnel[FTE],A124)&gt;pers_phy_res_max_months,$B$49,""),""),"")</f>
        <v/>
      </c>
      <c r="X124" s="111" t="str" cm="1">
        <f t="array" ref="X124">IFERROR(IF(COUNTIF(INDEX(Personnel[Category],A124),"*Applicant*")&gt;0,IF(INDEX(Personnel[FTE],A124)&lt;0.4,$B$51,""),""),"")</f>
        <v/>
      </c>
      <c r="Y124" s="111" t="str" cm="1">
        <f t="array" ref="Y124">IFERROR(IF(COUNTIF(INDEX(Personnel[Category],A124),"*Applicant*")&gt;0,IF(AND(INDEX(Personnel[FTE],A124)=1,INDEX(Personnel[Months],A124)&gt;=37),$B$52,""),""),"")</f>
        <v/>
      </c>
      <c r="Z124" s="111" t="str">
        <f>IFERROR(IF(COUNTIF(INDEX(Personnel[Category],A124),"*leave*")&gt;0,IF(Total_Research_leave&gt;pers_leave_maxperc*Total_NWO_funding,$B$50,""),""),"")</f>
        <v/>
      </c>
      <c r="AA124" s="111" t="str">
        <f>IFERROR(IF(AND(INDEX(Personnel[Costs],A124)=0,INDEX(salaries_academic[[category]:[1]],MATCH(INDEX(Personnel[Category],A124),salaries_academic[category],0),3)=0),$B$55,""),"")</f>
        <v/>
      </c>
      <c r="AB124" s="111" t="str">
        <f>IF(AND(organisation_type="yes",INDEX(Personnel[Amount],A124,1)&lt;&gt;"",ISBLANK(INDEX(Personnel[Organisation type],A124,1))),$B$53,"")</f>
        <v/>
      </c>
      <c r="AC124" s="111" t="str">
        <f>IF(AND(organisation_name="yes",INDEX(Personnel[Amount],A124,1)&lt;&gt;"",ISBLANK(INDEX(Personnel[Name organisation],A124,1))),$B$54,"")</f>
        <v/>
      </c>
      <c r="AD124" s="111" t="str">
        <f>IFERROR(IF(AND(INDEX(Personnel[Costs],A124)&gt;0,NOT(INDEX(Personnel[Category],A124)=parameters!$A$83)),$B$56,""),"")</f>
        <v/>
      </c>
    </row>
    <row r="125" spans="1:30" outlineLevel="1" x14ac:dyDescent="0.3">
      <c r="A125" s="111">
        <v>9</v>
      </c>
      <c r="B125" s="111" t="str" cm="1">
        <f t="array" aca="1" ref="B125" ca="1">IFERROR(INDEX(personnel_ac_notes[[#This Row],[Exceeding nr months]:[Costs specified]],1,MATCH(TRUE,LEN(personnel_ac_notes[[#This Row],[Exceeding nr months]:[Costs specified]])&gt;0,0)),"")</f>
        <v/>
      </c>
      <c r="C125" s="111" t="str">
        <f>IFERROR(IF(INDEX(Personnel[Months],A125)&gt;Max_project_duration,$B$37,""),"")</f>
        <v/>
      </c>
      <c r="D125" s="111" t="str">
        <f>IFERROR(IF(AND(LEN(INDEX(Personnel[Category],A125))+LEN(INDEX(Personnel[FTE],A125))+LEN(INDEX(Personnel[Months],A125))&gt;0,LEN(INDEX(Personnel[Category],A125-1))+LEN(INDEX(Personnel[FTE],A125-1))+LEN(INDEX(Personnel[Months],A125-1))=0),$B$36,""),"")</f>
        <v/>
      </c>
      <c r="E125" s="111" t="str">
        <f>IF(AND(NOT(ISBLANK(INDEX(Personnel[Category],A125))),OR(ISBLANK(INDEX(Personnel[FTE],A125)),ISBLANK(INDEX(Personnel[Months],A125)))),VLOOKUP(INDEX(Personnel[Category],A125),salaries_academic[],2,FALSE),"")</f>
        <v/>
      </c>
      <c r="F125" s="111" t="str">
        <f>IF(AND(INDEX(Personnel[Organisation type],A125)=pers_int_listname,ISBLANK(INDEX(Personnel[Kolom1],A125))),"Provide country","")</f>
        <v/>
      </c>
      <c r="G125" s="111" t="str" cm="1">
        <f t="array" ref="G125">_xlfn.IFNA(IF(COUNTIF(Personnel[Category],INDEX(Personnel[Category],$A125))-INDEX(salaries_academic[max nr positions],MATCH(INDEX(Personnel[Category],$A125),salaries_academic[category],0))&gt;0,$B$40,""),"")</f>
        <v/>
      </c>
      <c r="H125" s="260" t="str" cm="1">
        <f t="array" ref="H125">IFERROR(IF(AND(COUNTIF(Personnel[Organisation type],pers_int_listname)&lt;pers_int_minpos,INDEX(Personnel[Organisation type],A125,1)=pers_int_listname),$B$64,""),"")</f>
        <v/>
      </c>
      <c r="I125" s="260" t="str" cm="1">
        <f t="array" ref="I125">IFERROR(IF(AND(COUNTIF(Personnel[Organisation type],pers_int_listname)&gt;pers_int_maxpos,INDEX(Personnel[Organisation type],A125,1)=pers_int_listname),$B$65,""),"")</f>
        <v/>
      </c>
      <c r="J125" s="260" t="str" cm="1">
        <f t="array" ref="J125">IFERROR(IF(AND(INDEX(Personnel[Organisation type],A125,1)=pers_int_listname,SUMIF(Personnel[Organisation type],pers_int_listname,Personnel[Amount])&lt;pers_int_minamount),$B$66,""),"")</f>
        <v/>
      </c>
      <c r="K125" s="260" t="str" cm="1">
        <f t="array" ref="K125">IFERROR(IF(AND(INDEX(Personnel[Organisation type],A125,1)=pers_int_listname,SUMIF(Personnel[Organisation type],pers_int_listname,Personnel[Amount])&gt;pers_int_maxamount),$B$67,""),"")</f>
        <v/>
      </c>
      <c r="L125" s="260" t="str" cm="1">
        <f t="array" aca="1" ref="L125" ca="1">IFERROR(IF(AND(INDEX(Personnel[Organisation type],A125,1)=pers_int_listname,SUMIF(Personnel[Organisation type],pers_int_listname,Personnel[Amount])&lt;pers_int_minperc*Total_NWO_funding),$B$68,""),"")</f>
        <v/>
      </c>
      <c r="M125" s="260" t="str" cm="1">
        <f t="array" aca="1" ref="M125" ca="1">IFERROR(IF(AND(INDEX(Personnel[Organisation type],A125,1)=pers_int_listname,SUMIF(Personnel[Organisation type],pers_int_listname,Personnel[Amount])&gt;pers_int_maxperc*Total_NWO_funding),$B$69,""),"")</f>
        <v/>
      </c>
      <c r="N125" s="308" t="str" cm="1">
        <f t="array" aca="1" ref="N125" ca="1">_xlfn.IFNA(INDEX(pers_abr_amount_org[Total amount/org],MATCH(INDEX(Personnel[Name organisation],A125,1),pers_abr_amount_org[Name org],0),1,0),"")</f>
        <v/>
      </c>
      <c r="O125" s="111" t="str">
        <f>IFERROR(IF(COUNTIF(INDEX(Personnel[Category],A125),"*- PhD*")&gt;0,IF(INDEX(Personnel[Months],A125)*INDEX(Personnel[FTE],A125)&lt;pers_PhD_min_months,$B$38,""),""),"")</f>
        <v/>
      </c>
      <c r="P125" s="111" t="str">
        <f>IFERROR(IF(COUNTIF(INDEX(Personnel[Category],$A125),"*- PhD*")&gt;0,IF(INDEX(Personnel[Months],$A125)*INDEX(Personnel[FTE],$A125)&gt;pers_PhD_max_months,$B$39,""),""),"")</f>
        <v/>
      </c>
      <c r="Q125" s="111" t="str">
        <f>IFERROR(IF(COUNTIF(INDEX(Personnel[Category],A125),"*EngD*")&gt;0,IF(OR(IFERROR(MATCH("*PhD*",Personnel[Category],0),0)&gt;0,IFERROR(MATCH("*PostDoc*",Personnel[Category],0),0)&gt;0),"",$B$43),""),"")</f>
        <v/>
      </c>
      <c r="R125" s="111" t="str">
        <f>IFERROR(IF(COUNTIF(INDEX(Personnel[Category],A125),"*EngD*")&gt;0,IF(INDEX(Personnel[Months],A125)*INDEX(Personnel[FTE],A125)&gt;pers_PDEng_max_months,$B$44,""),""),"")</f>
        <v/>
      </c>
      <c r="S125" s="111" t="str">
        <f>IFERROR(IF(COUNTIF(INDEX(Personnel[Category],A125),"*PostDoc*")&gt;0,IF(INDEX(Personnel[Months],A125)&lt;pers_PD_min_months,$B$45,""),""),"")</f>
        <v/>
      </c>
      <c r="T125" s="111" t="str">
        <f>IFERROR(IF(COUNTIF(INDEX(Personnel[Category],A125),"*PostDoc*")&gt;0,IF(INDEX(Personnel[FTE],A125)&lt;pers_PD_min_FTE,$B$46,""),""),"")</f>
        <v/>
      </c>
      <c r="U125" s="111" t="str">
        <f>IFERROR(IF(COUNTIF(INDEX(Personnel[Category],A125),"*PostDoc*")&gt;0,IF(INDEX(Personnel[Months],A125)*INDEX(Personnel[FTE],A125)&gt;pers_PD_max_months,$B$47,""),""),"")</f>
        <v/>
      </c>
      <c r="V125" s="111" t="str">
        <f>IFERROR(IF(COUNTIF(INDEX(Personnel[Category],A125),"*hysici*")&gt;0,IF(INDEX(Personnel[Months],A125)*INDEX(Personnel[FTE],A125)&lt;pers_phy_res_min_months,$B$48,""),""),"")</f>
        <v/>
      </c>
      <c r="W125" s="111" t="str">
        <f>IFERROR(IF(COUNTIF(INDEX(Personnel[Category],A125),"*hysici*")&gt;0,IF(INDEX(Personnel[Months],A125)*INDEX(Personnel[FTE],A125)&gt;pers_phy_res_max_months,$B$49,""),""),"")</f>
        <v/>
      </c>
      <c r="X125" s="111" t="str" cm="1">
        <f t="array" ref="X125">IFERROR(IF(COUNTIF(INDEX(Personnel[Category],A125),"*Applicant*")&gt;0,IF(INDEX(Personnel[FTE],A125)&lt;0.4,$B$51,""),""),"")</f>
        <v/>
      </c>
      <c r="Y125" s="111" t="str" cm="1">
        <f t="array" ref="Y125">IFERROR(IF(COUNTIF(INDEX(Personnel[Category],A125),"*Applicant*")&gt;0,IF(AND(INDEX(Personnel[FTE],A125)=1,INDEX(Personnel[Months],A125)&gt;=37),$B$52,""),""),"")</f>
        <v/>
      </c>
      <c r="Z125" s="111" t="str">
        <f>IFERROR(IF(COUNTIF(INDEX(Personnel[Category],A125),"*leave*")&gt;0,IF(Total_Research_leave&gt;pers_leave_maxperc*Total_NWO_funding,$B$50,""),""),"")</f>
        <v/>
      </c>
      <c r="AA125" s="111" t="str">
        <f>IFERROR(IF(AND(INDEX(Personnel[Costs],A125)=0,INDEX(salaries_academic[[category]:[1]],MATCH(INDEX(Personnel[Category],A125),salaries_academic[category],0),3)=0),$B$55,""),"")</f>
        <v/>
      </c>
      <c r="AB125" s="111" t="str">
        <f>IF(AND(organisation_type="yes",INDEX(Personnel[Amount],A125,1)&lt;&gt;"",ISBLANK(INDEX(Personnel[Organisation type],A125,1))),$B$53,"")</f>
        <v/>
      </c>
      <c r="AC125" s="111" t="str">
        <f>IF(AND(organisation_name="yes",INDEX(Personnel[Amount],A125,1)&lt;&gt;"",ISBLANK(INDEX(Personnel[Name organisation],A125,1))),$B$54,"")</f>
        <v/>
      </c>
      <c r="AD125" s="111" t="str">
        <f>IFERROR(IF(AND(INDEX(Personnel[Costs],A125)&gt;0,NOT(INDEX(Personnel[Category],A125)=parameters!$A$83)),$B$56,""),"")</f>
        <v/>
      </c>
    </row>
    <row r="126" spans="1:30" outlineLevel="1" x14ac:dyDescent="0.3">
      <c r="A126" s="111">
        <v>10</v>
      </c>
      <c r="B126" s="111" t="str" cm="1">
        <f t="array" aca="1" ref="B126" ca="1">IFERROR(INDEX(personnel_ac_notes[[#This Row],[Exceeding nr months]:[Costs specified]],1,MATCH(TRUE,LEN(personnel_ac_notes[[#This Row],[Exceeding nr months]:[Costs specified]])&gt;0,0)),"")</f>
        <v/>
      </c>
      <c r="C126" s="111" t="str">
        <f>IFERROR(IF(INDEX(Personnel[Months],A126)&gt;Max_project_duration,$B$37,""),"")</f>
        <v/>
      </c>
      <c r="D126" s="111" t="str">
        <f>IFERROR(IF(AND(LEN(INDEX(Personnel[Category],A126))+LEN(INDEX(Personnel[FTE],A126))+LEN(INDEX(Personnel[Months],A126))&gt;0,LEN(INDEX(Personnel[Category],A126-1))+LEN(INDEX(Personnel[FTE],A126-1))+LEN(INDEX(Personnel[Months],A126-1))=0),$B$36,""),"")</f>
        <v/>
      </c>
      <c r="E126" s="111" t="str">
        <f>IF(AND(NOT(ISBLANK(INDEX(Personnel[Category],A126))),OR(ISBLANK(INDEX(Personnel[FTE],A126)),ISBLANK(INDEX(Personnel[Months],A126)))),VLOOKUP(INDEX(Personnel[Category],A126),salaries_academic[],2,FALSE),"")</f>
        <v/>
      </c>
      <c r="F126" s="111" t="str">
        <f>IF(AND(INDEX(Personnel[Organisation type],A126)=pers_int_listname,ISBLANK(INDEX(Personnel[Kolom1],A126))),"Provide country","")</f>
        <v/>
      </c>
      <c r="G126" s="111" t="str" cm="1">
        <f t="array" ref="G126">_xlfn.IFNA(IF(COUNTIF(Personnel[Category],INDEX(Personnel[Category],$A126))-INDEX(salaries_academic[max nr positions],MATCH(INDEX(Personnel[Category],$A126),salaries_academic[category],0))&gt;0,$B$40,""),"")</f>
        <v/>
      </c>
      <c r="H126" s="260" t="str" cm="1">
        <f t="array" ref="H126">IFERROR(IF(AND(COUNTIF(Personnel[Organisation type],pers_int_listname)&lt;pers_int_minpos,INDEX(Personnel[Organisation type],A126,1)=pers_int_listname),$B$64,""),"")</f>
        <v/>
      </c>
      <c r="I126" s="260" t="str" cm="1">
        <f t="array" ref="I126">IFERROR(IF(AND(COUNTIF(Personnel[Organisation type],pers_int_listname)&gt;pers_int_maxpos,INDEX(Personnel[Organisation type],A126,1)=pers_int_listname),$B$65,""),"")</f>
        <v/>
      </c>
      <c r="J126" s="260" t="str" cm="1">
        <f t="array" ref="J126">IFERROR(IF(AND(INDEX(Personnel[Organisation type],A126,1)=pers_int_listname,SUMIF(Personnel[Organisation type],pers_int_listname,Personnel[Amount])&lt;pers_int_minamount),$B$66,""),"")</f>
        <v/>
      </c>
      <c r="K126" s="260" t="str" cm="1">
        <f t="array" ref="K126">IFERROR(IF(AND(INDEX(Personnel[Organisation type],A126,1)=pers_int_listname,SUMIF(Personnel[Organisation type],pers_int_listname,Personnel[Amount])&gt;pers_int_maxamount),$B$67,""),"")</f>
        <v/>
      </c>
      <c r="L126" s="260" t="str" cm="1">
        <f t="array" aca="1" ref="L126" ca="1">IFERROR(IF(AND(INDEX(Personnel[Organisation type],A126,1)=pers_int_listname,SUMIF(Personnel[Organisation type],pers_int_listname,Personnel[Amount])&lt;pers_int_minperc*Total_NWO_funding),$B$68,""),"")</f>
        <v/>
      </c>
      <c r="M126" s="260" t="str" cm="1">
        <f t="array" aca="1" ref="M126" ca="1">IFERROR(IF(AND(INDEX(Personnel[Organisation type],A126,1)=pers_int_listname,SUMIF(Personnel[Organisation type],pers_int_listname,Personnel[Amount])&gt;pers_int_maxperc*Total_NWO_funding),$B$69,""),"")</f>
        <v/>
      </c>
      <c r="N126" s="308" t="str" cm="1">
        <f t="array" aca="1" ref="N126" ca="1">_xlfn.IFNA(INDEX(pers_abr_amount_org[Total amount/org],MATCH(INDEX(Personnel[Name organisation],A126,1),pers_abr_amount_org[Name org],0),1,0),"")</f>
        <v/>
      </c>
      <c r="O126" s="111" t="str">
        <f>IFERROR(IF(COUNTIF(INDEX(Personnel[Category],A126),"*- PhD*")&gt;0,IF(INDEX(Personnel[Months],A126)*INDEX(Personnel[FTE],A126)&lt;pers_PhD_min_months,$B$38,""),""),"")</f>
        <v/>
      </c>
      <c r="P126" s="111" t="str">
        <f>IFERROR(IF(COUNTIF(INDEX(Personnel[Category],$A126),"*- PhD*")&gt;0,IF(INDEX(Personnel[Months],$A126)*INDEX(Personnel[FTE],$A126)&gt;pers_PhD_max_months,$B$39,""),""),"")</f>
        <v/>
      </c>
      <c r="Q126" s="111" t="str">
        <f>IFERROR(IF(COUNTIF(INDEX(Personnel[Category],A126),"*EngD*")&gt;0,IF(OR(IFERROR(MATCH("*PhD*",Personnel[Category],0),0)&gt;0,IFERROR(MATCH("*PostDoc*",Personnel[Category],0),0)&gt;0),"",$B$43),""),"")</f>
        <v/>
      </c>
      <c r="R126" s="111" t="str">
        <f>IFERROR(IF(COUNTIF(INDEX(Personnel[Category],A126),"*EngD*")&gt;0,IF(INDEX(Personnel[Months],A126)*INDEX(Personnel[FTE],A126)&gt;pers_PDEng_max_months,$B$44,""),""),"")</f>
        <v/>
      </c>
      <c r="S126" s="111" t="str">
        <f>IFERROR(IF(COUNTIF(INDEX(Personnel[Category],A126),"*PostDoc*")&gt;0,IF(INDEX(Personnel[Months],A126)&lt;pers_PD_min_months,$B$45,""),""),"")</f>
        <v/>
      </c>
      <c r="T126" s="111" t="str">
        <f>IFERROR(IF(COUNTIF(INDEX(Personnel[Category],A126),"*PostDoc*")&gt;0,IF(INDEX(Personnel[FTE],A126)&lt;pers_PD_min_FTE,$B$46,""),""),"")</f>
        <v/>
      </c>
      <c r="U126" s="111" t="str">
        <f>IFERROR(IF(COUNTIF(INDEX(Personnel[Category],A126),"*PostDoc*")&gt;0,IF(INDEX(Personnel[Months],A126)*INDEX(Personnel[FTE],A126)&gt;pers_PD_max_months,$B$47,""),""),"")</f>
        <v/>
      </c>
      <c r="V126" s="111" t="str">
        <f>IFERROR(IF(COUNTIF(INDEX(Personnel[Category],A126),"*hysici*")&gt;0,IF(INDEX(Personnel[Months],A126)*INDEX(Personnel[FTE],A126)&lt;pers_phy_res_min_months,$B$48,""),""),"")</f>
        <v/>
      </c>
      <c r="W126" s="111" t="str">
        <f>IFERROR(IF(COUNTIF(INDEX(Personnel[Category],A126),"*hysici*")&gt;0,IF(INDEX(Personnel[Months],A126)*INDEX(Personnel[FTE],A126)&gt;pers_phy_res_max_months,$B$49,""),""),"")</f>
        <v/>
      </c>
      <c r="X126" s="111" t="str" cm="1">
        <f t="array" ref="X126">IFERROR(IF(COUNTIF(INDEX(Personnel[Category],A126),"*Applicant*")&gt;0,IF(INDEX(Personnel[FTE],A126)&lt;0.4,$B$51,""),""),"")</f>
        <v/>
      </c>
      <c r="Y126" s="111" t="str" cm="1">
        <f t="array" ref="Y126">IFERROR(IF(COUNTIF(INDEX(Personnel[Category],A126),"*Applicant*")&gt;0,IF(AND(INDEX(Personnel[FTE],A126)=1,INDEX(Personnel[Months],A126)&gt;=37),$B$52,""),""),"")</f>
        <v/>
      </c>
      <c r="Z126" s="111" t="str">
        <f>IFERROR(IF(COUNTIF(INDEX(Personnel[Category],A126),"*leave*")&gt;0,IF(Total_Research_leave&gt;pers_leave_maxperc*Total_NWO_funding,$B$50,""),""),"")</f>
        <v/>
      </c>
      <c r="AA126" s="111" t="str">
        <f>IFERROR(IF(AND(INDEX(Personnel[Costs],A126)=0,INDEX(salaries_academic[[category]:[1]],MATCH(INDEX(Personnel[Category],A126),salaries_academic[category],0),3)=0),$B$55,""),"")</f>
        <v/>
      </c>
      <c r="AB126" s="111" t="str">
        <f>IF(AND(organisation_type="yes",INDEX(Personnel[Amount],A126,1)&lt;&gt;"",ISBLANK(INDEX(Personnel[Organisation type],A126,1))),$B$53,"")</f>
        <v/>
      </c>
      <c r="AC126" s="111" t="str">
        <f>IF(AND(organisation_name="yes",INDEX(Personnel[Amount],A126,1)&lt;&gt;"",ISBLANK(INDEX(Personnel[Name organisation],A126,1))),$B$54,"")</f>
        <v/>
      </c>
      <c r="AD126" s="111" t="str">
        <f>IFERROR(IF(AND(INDEX(Personnel[Costs],A126)&gt;0,NOT(INDEX(Personnel[Category],A126)=parameters!$A$83)),$B$56,""),"")</f>
        <v/>
      </c>
    </row>
    <row r="128" spans="1:30" ht="18" x14ac:dyDescent="0.3">
      <c r="A128" s="273" t="s">
        <v>801</v>
      </c>
    </row>
    <row r="129" spans="1:8" ht="18" collapsed="1" x14ac:dyDescent="0.3">
      <c r="A129" s="129"/>
    </row>
    <row r="130" spans="1:8" hidden="1" outlineLevel="2" x14ac:dyDescent="0.3">
      <c r="A130" s="272" t="s">
        <v>532</v>
      </c>
      <c r="B130" s="272" t="s">
        <v>536</v>
      </c>
      <c r="C130" s="249" t="s">
        <v>660</v>
      </c>
      <c r="D130" s="249" t="s">
        <v>805</v>
      </c>
      <c r="E130" s="111" t="s">
        <v>797</v>
      </c>
      <c r="F130" s="111" t="s">
        <v>798</v>
      </c>
      <c r="G130" s="111" t="s">
        <v>799</v>
      </c>
      <c r="H130" s="111" t="s">
        <v>800</v>
      </c>
    </row>
    <row r="131" spans="1:8" hidden="1" outlineLevel="2" x14ac:dyDescent="0.3">
      <c r="A131" s="266">
        <v>1</v>
      </c>
      <c r="B131" s="111" t="str" cm="1">
        <f t="array" aca="1" ref="B131" ca="1">IFERROR(INDEX(pers_fixed_notes[[#This Row],[Empty lines]:[Name organisation not provided]],1,MATCH(TRUE,LEN(pers_fixed_notes[[#This Row],[Empty lines]:[Name organisation not provided]])&gt;0,0)),"")</f>
        <v/>
      </c>
      <c r="C131" s="111" t="str">
        <f>IFERROR(IF(AND(empty_lines="no",LEN(_xlfn.SINGLE(INDEX(#REF!,pers_fixed_notes[[#This Row],[Row nr]])))=0,LEN(_xlfn.SINGLE(INDEX(#REF!,pers_fixed_notes[[#This Row],[Row nr]]+1)))&gt;0),$B$36,""),"")</f>
        <v/>
      </c>
      <c r="D131" s="111" t="e" cm="1">
        <f t="array" ref="D131">IF(AND(LEN(INDEX(#REF!,pers_fixed_notes[[#This Row],[Row nr]],1))=0,LEN(INDEX(#REF!,pers_fixed_notes[[#This Row],[Row nr]],1))&gt;0),checks!$B$74,"")</f>
        <v>#REF!</v>
      </c>
      <c r="E131" s="111" t="e" cm="1">
        <f t="array" ref="E131">IF(AND(LEN(INDEX(#REF!,pers_fixed_notes[[#This Row],[Row nr]],1))&gt;0,#REF!&gt;pers_fixed_max_amount),checks!$B$72,"")</f>
        <v>#REF!</v>
      </c>
      <c r="F131" s="111" t="e" cm="1">
        <f t="array" aca="1" ref="F131" ca="1">IF(AND(LEN(INDEX(#REF!,pers_fixed_notes[[#This Row],[Row nr]],1))&gt;0,#REF!&gt;pers_fixed_max_perc*Total_NWO_funding),checks!$B$73,"")</f>
        <v>#REF!</v>
      </c>
      <c r="G131" s="111" t="e">
        <f>IF(AND(organisation_type="yes",_xlfn.SINGLE(INDEX(#REF!,pers_fixed_notes[[#This Row],[Row nr]],1))&lt;&gt;"",ISBLANK(_xlfn.SINGLE(INDEX(#REF!,pers_fixed_notes[[#This Row],[Row nr]],1)))),$B$53,"")</f>
        <v>#REF!</v>
      </c>
      <c r="H131" s="111" t="e">
        <f>IF(AND(organisation_name="yes",_xlfn.SINGLE(INDEX(#REF!,pers_fixed_notes[[#This Row],[Row nr]],1))&lt;&gt;"",ISBLANK(_xlfn.SINGLE(INDEX(#REF!,pers_fixed_notes[[#This Row],[Row nr]],1)))),$B$54,"")</f>
        <v>#REF!</v>
      </c>
    </row>
    <row r="132" spans="1:8" hidden="1" outlineLevel="2" x14ac:dyDescent="0.3">
      <c r="A132" s="268">
        <v>2</v>
      </c>
      <c r="B132" s="111" t="str" cm="1">
        <f t="array" aca="1" ref="B132" ca="1">IFERROR(INDEX(pers_fixed_notes[[#This Row],[Empty lines]:[Name organisation not provided]],1,MATCH(TRUE,LEN(pers_fixed_notes[[#This Row],[Empty lines]:[Name organisation not provided]])&gt;0,0)),"")</f>
        <v/>
      </c>
      <c r="C132" s="111" t="str">
        <f>IFERROR(IF(AND(empty_lines="no",LEN(_xlfn.SINGLE(INDEX(#REF!,pers_fixed_notes[[#This Row],[Row nr]])))=0,LEN(_xlfn.SINGLE(INDEX(#REF!,pers_fixed_notes[[#This Row],[Row nr]]+1)))&gt;0),$B$36,""),"")</f>
        <v/>
      </c>
      <c r="D132" s="111" t="e" cm="1">
        <f t="array" ref="D132">IF(AND(LEN(INDEX(#REF!,pers_fixed_notes[[#This Row],[Row nr]],1))=0,LEN(INDEX(#REF!,pers_fixed_notes[[#This Row],[Row nr]],1))&gt;0),checks!$B$74,"")</f>
        <v>#REF!</v>
      </c>
      <c r="E132" s="111" t="e" cm="1">
        <f t="array" ref="E132">IF(AND(LEN(INDEX(#REF!,pers_fixed_notes[[#This Row],[Row nr]],1))&gt;0,#REF!&gt;pers_fixed_max_amount),checks!$B$72,"")</f>
        <v>#REF!</v>
      </c>
      <c r="F132" s="111" t="e" cm="1">
        <f t="array" aca="1" ref="F132" ca="1">IF(AND(LEN(INDEX(#REF!,pers_fixed_notes[[#This Row],[Row nr]],1))&gt;0,#REF!&gt;pers_fixed_max_perc*Total_NWO_funding),checks!$B$73,"")</f>
        <v>#REF!</v>
      </c>
      <c r="G132" s="111" t="e">
        <f>IF(AND(organisation_type="yes",_xlfn.SINGLE(INDEX(#REF!,pers_fixed_notes[[#This Row],[Row nr]],1))&lt;&gt;"",ISBLANK(_xlfn.SINGLE(INDEX(#REF!,pers_fixed_notes[[#This Row],[Row nr]],1)))),$B$53,"")</f>
        <v>#REF!</v>
      </c>
      <c r="H132" s="111" t="e">
        <f>IF(AND(organisation_name="yes",_xlfn.SINGLE(INDEX(#REF!,pers_fixed_notes[[#This Row],[Row nr]],1))&lt;&gt;"",ISBLANK(_xlfn.SINGLE(INDEX(#REF!,pers_fixed_notes[[#This Row],[Row nr]],1)))),$B$54,"")</f>
        <v>#REF!</v>
      </c>
    </row>
    <row r="133" spans="1:8" hidden="1" outlineLevel="2" x14ac:dyDescent="0.3">
      <c r="A133" s="266">
        <v>3</v>
      </c>
      <c r="B133" s="111" t="str" cm="1">
        <f t="array" aca="1" ref="B133" ca="1">IFERROR(INDEX(pers_fixed_notes[[#This Row],[Empty lines]:[Name organisation not provided]],1,MATCH(TRUE,LEN(pers_fixed_notes[[#This Row],[Empty lines]:[Name organisation not provided]])&gt;0,0)),"")</f>
        <v/>
      </c>
      <c r="C133" s="111" t="str">
        <f>IFERROR(IF(AND(empty_lines="no",LEN(_xlfn.SINGLE(INDEX(#REF!,pers_fixed_notes[[#This Row],[Row nr]])))=0,LEN(_xlfn.SINGLE(INDEX(#REF!,pers_fixed_notes[[#This Row],[Row nr]]+1)))&gt;0),$B$36,""),"")</f>
        <v/>
      </c>
      <c r="D133" s="111" t="e" cm="1">
        <f t="array" ref="D133">IF(AND(LEN(INDEX(#REF!,pers_fixed_notes[[#This Row],[Row nr]],1))=0,LEN(INDEX(#REF!,pers_fixed_notes[[#This Row],[Row nr]],1))&gt;0),checks!$B$74,"")</f>
        <v>#REF!</v>
      </c>
      <c r="E133" s="111" t="e" cm="1">
        <f t="array" ref="E133">IF(AND(LEN(INDEX(#REF!,pers_fixed_notes[[#This Row],[Row nr]],1))&gt;0,#REF!&gt;pers_fixed_max_amount),checks!$B$72,"")</f>
        <v>#REF!</v>
      </c>
      <c r="F133" s="111" t="e" cm="1">
        <f t="array" aca="1" ref="F133" ca="1">IF(AND(LEN(INDEX(#REF!,pers_fixed_notes[[#This Row],[Row nr]],1))&gt;0,#REF!&gt;pers_fixed_max_perc*Total_NWO_funding),checks!$B$73,"")</f>
        <v>#REF!</v>
      </c>
      <c r="G133" s="111" t="e">
        <f>IF(AND(organisation_type="yes",_xlfn.SINGLE(INDEX(#REF!,pers_fixed_notes[[#This Row],[Row nr]],1))&lt;&gt;"",ISBLANK(_xlfn.SINGLE(INDEX(#REF!,pers_fixed_notes[[#This Row],[Row nr]],1)))),$B$53,"")</f>
        <v>#REF!</v>
      </c>
      <c r="H133" s="111" t="e">
        <f>IF(AND(organisation_name="yes",_xlfn.SINGLE(INDEX(#REF!,pers_fixed_notes[[#This Row],[Row nr]],1))&lt;&gt;"",ISBLANK(_xlfn.SINGLE(INDEX(#REF!,pers_fixed_notes[[#This Row],[Row nr]],1)))),$B$54,"")</f>
        <v>#REF!</v>
      </c>
    </row>
    <row r="134" spans="1:8" hidden="1" outlineLevel="2" x14ac:dyDescent="0.3">
      <c r="A134" s="268">
        <v>4</v>
      </c>
      <c r="B134" s="111" t="str" cm="1">
        <f t="array" aca="1" ref="B134" ca="1">IFERROR(INDEX(pers_fixed_notes[[#This Row],[Empty lines]:[Name organisation not provided]],1,MATCH(TRUE,LEN(pers_fixed_notes[[#This Row],[Empty lines]:[Name organisation not provided]])&gt;0,0)),"")</f>
        <v/>
      </c>
      <c r="C134" s="111" t="str">
        <f>IFERROR(IF(AND(empty_lines="no",LEN(_xlfn.SINGLE(INDEX(#REF!,pers_fixed_notes[[#This Row],[Row nr]])))=0,LEN(_xlfn.SINGLE(INDEX(#REF!,pers_fixed_notes[[#This Row],[Row nr]]+1)))&gt;0),$B$36,""),"")</f>
        <v/>
      </c>
      <c r="D134" s="111" t="e" cm="1">
        <f t="array" ref="D134">IF(AND(LEN(INDEX(#REF!,pers_fixed_notes[[#This Row],[Row nr]],1))=0,LEN(INDEX(#REF!,pers_fixed_notes[[#This Row],[Row nr]],1))&gt;0),checks!$B$74,"")</f>
        <v>#REF!</v>
      </c>
      <c r="E134" s="111" t="e" cm="1">
        <f t="array" ref="E134">IF(AND(LEN(INDEX(#REF!,pers_fixed_notes[[#This Row],[Row nr]],1))&gt;0,#REF!&gt;pers_fixed_max_amount),checks!$B$72,"")</f>
        <v>#REF!</v>
      </c>
      <c r="F134" s="111" t="e" cm="1">
        <f t="array" aca="1" ref="F134" ca="1">IF(AND(LEN(INDEX(#REF!,pers_fixed_notes[[#This Row],[Row nr]],1))&gt;0,#REF!&gt;pers_fixed_max_perc*Total_NWO_funding),checks!$B$73,"")</f>
        <v>#REF!</v>
      </c>
      <c r="G134" s="111" t="e">
        <f>IF(AND(organisation_type="yes",_xlfn.SINGLE(INDEX(#REF!,pers_fixed_notes[[#This Row],[Row nr]],1))&lt;&gt;"",ISBLANK(_xlfn.SINGLE(INDEX(#REF!,pers_fixed_notes[[#This Row],[Row nr]],1)))),$B$53,"")</f>
        <v>#REF!</v>
      </c>
      <c r="H134" s="111" t="e">
        <f>IF(AND(organisation_name="yes",_xlfn.SINGLE(INDEX(#REF!,pers_fixed_notes[[#This Row],[Row nr]],1))&lt;&gt;"",ISBLANK(_xlfn.SINGLE(INDEX(#REF!,pers_fixed_notes[[#This Row],[Row nr]],1)))),$B$54,"")</f>
        <v>#REF!</v>
      </c>
    </row>
    <row r="135" spans="1:8" hidden="1" outlineLevel="2" x14ac:dyDescent="0.3">
      <c r="A135" s="266">
        <v>5</v>
      </c>
      <c r="B135" s="111" t="str" cm="1">
        <f t="array" aca="1" ref="B135" ca="1">IFERROR(INDEX(pers_fixed_notes[[#This Row],[Empty lines]:[Name organisation not provided]],1,MATCH(TRUE,LEN(pers_fixed_notes[[#This Row],[Empty lines]:[Name organisation not provided]])&gt;0,0)),"")</f>
        <v/>
      </c>
      <c r="C135" s="111" t="str">
        <f>IFERROR(IF(AND(empty_lines="no",LEN(_xlfn.SINGLE(INDEX(#REF!,pers_fixed_notes[[#This Row],[Row nr]])))=0,LEN(_xlfn.SINGLE(INDEX(#REF!,pers_fixed_notes[[#This Row],[Row nr]]+1)))&gt;0),$B$36,""),"")</f>
        <v/>
      </c>
      <c r="D135" s="111" t="e" cm="1">
        <f t="array" ref="D135">IF(AND(LEN(INDEX(#REF!,pers_fixed_notes[[#This Row],[Row nr]],1))=0,LEN(INDEX(#REF!,pers_fixed_notes[[#This Row],[Row nr]],1))&gt;0),checks!$B$74,"")</f>
        <v>#REF!</v>
      </c>
      <c r="E135" s="111" t="e" cm="1">
        <f t="array" ref="E135">IF(AND(LEN(INDEX(#REF!,pers_fixed_notes[[#This Row],[Row nr]],1))&gt;0,#REF!&gt;pers_fixed_max_amount),checks!$B$72,"")</f>
        <v>#REF!</v>
      </c>
      <c r="F135" s="111" t="e" cm="1">
        <f t="array" aca="1" ref="F135" ca="1">IF(AND(LEN(INDEX(#REF!,pers_fixed_notes[[#This Row],[Row nr]],1))&gt;0,#REF!&gt;pers_fixed_max_perc*Total_NWO_funding),checks!$B$73,"")</f>
        <v>#REF!</v>
      </c>
      <c r="G135" s="111" t="e">
        <f>IF(AND(organisation_type="yes",_xlfn.SINGLE(INDEX(#REF!,pers_fixed_notes[[#This Row],[Row nr]],1))&lt;&gt;"",ISBLANK(_xlfn.SINGLE(INDEX(#REF!,pers_fixed_notes[[#This Row],[Row nr]],1)))),$B$53,"")</f>
        <v>#REF!</v>
      </c>
      <c r="H135" s="111" t="e">
        <f>IF(AND(organisation_name="yes",_xlfn.SINGLE(INDEX(#REF!,pers_fixed_notes[[#This Row],[Row nr]],1))&lt;&gt;"",ISBLANK(_xlfn.SINGLE(INDEX(#REF!,pers_fixed_notes[[#This Row],[Row nr]],1)))),$B$54,"")</f>
        <v>#REF!</v>
      </c>
    </row>
    <row r="136" spans="1:8" hidden="1" outlineLevel="2" x14ac:dyDescent="0.3">
      <c r="A136" s="268">
        <v>6</v>
      </c>
      <c r="B136" s="111" t="str" cm="1">
        <f t="array" aca="1" ref="B136" ca="1">IFERROR(INDEX(pers_fixed_notes[[#This Row],[Empty lines]:[Name organisation not provided]],1,MATCH(TRUE,LEN(pers_fixed_notes[[#This Row],[Empty lines]:[Name organisation not provided]])&gt;0,0)),"")</f>
        <v/>
      </c>
      <c r="C136" s="111" t="str">
        <f>IFERROR(IF(AND(empty_lines="no",LEN(_xlfn.SINGLE(INDEX(#REF!,pers_fixed_notes[[#This Row],[Row nr]])))=0,LEN(_xlfn.SINGLE(INDEX(#REF!,pers_fixed_notes[[#This Row],[Row nr]]+1)))&gt;0),$B$36,""),"")</f>
        <v/>
      </c>
      <c r="D136" s="111" t="e" cm="1">
        <f t="array" ref="D136">IF(AND(LEN(INDEX(#REF!,pers_fixed_notes[[#This Row],[Row nr]],1))=0,LEN(INDEX(#REF!,pers_fixed_notes[[#This Row],[Row nr]],1))&gt;0),checks!$B$74,"")</f>
        <v>#REF!</v>
      </c>
      <c r="E136" s="111" t="e" cm="1">
        <f t="array" ref="E136">IF(AND(LEN(INDEX(#REF!,pers_fixed_notes[[#This Row],[Row nr]],1))&gt;0,#REF!&gt;pers_fixed_max_amount),checks!$B$72,"")</f>
        <v>#REF!</v>
      </c>
      <c r="F136" s="111" t="e" cm="1">
        <f t="array" aca="1" ref="F136" ca="1">IF(AND(LEN(INDEX(#REF!,pers_fixed_notes[[#This Row],[Row nr]],1))&gt;0,#REF!&gt;pers_fixed_max_perc*Total_NWO_funding),checks!$B$73,"")</f>
        <v>#REF!</v>
      </c>
      <c r="G136" s="111" t="e">
        <f>IF(AND(organisation_type="yes",_xlfn.SINGLE(INDEX(#REF!,pers_fixed_notes[[#This Row],[Row nr]],1))&lt;&gt;"",ISBLANK(_xlfn.SINGLE(INDEX(#REF!,pers_fixed_notes[[#This Row],[Row nr]],1)))),$B$53,"")</f>
        <v>#REF!</v>
      </c>
      <c r="H136" s="111" t="e">
        <f>IF(AND(organisation_name="yes",_xlfn.SINGLE(INDEX(#REF!,pers_fixed_notes[[#This Row],[Row nr]],1))&lt;&gt;"",ISBLANK(_xlfn.SINGLE(INDEX(#REF!,pers_fixed_notes[[#This Row],[Row nr]],1)))),$B$54,"")</f>
        <v>#REF!</v>
      </c>
    </row>
    <row r="137" spans="1:8" hidden="1" outlineLevel="2" x14ac:dyDescent="0.3">
      <c r="A137" s="266">
        <v>7</v>
      </c>
      <c r="B137" s="111" t="str" cm="1">
        <f t="array" aca="1" ref="B137" ca="1">IFERROR(INDEX(pers_fixed_notes[[#This Row],[Empty lines]:[Name organisation not provided]],1,MATCH(TRUE,LEN(pers_fixed_notes[[#This Row],[Empty lines]:[Name organisation not provided]])&gt;0,0)),"")</f>
        <v/>
      </c>
      <c r="C137" s="111" t="str">
        <f>IFERROR(IF(AND(empty_lines="no",LEN(_xlfn.SINGLE(INDEX(#REF!,pers_fixed_notes[[#This Row],[Row nr]])))=0,LEN(_xlfn.SINGLE(INDEX(#REF!,pers_fixed_notes[[#This Row],[Row nr]]+1)))&gt;0),$B$36,""),"")</f>
        <v/>
      </c>
      <c r="D137" s="111" t="e" cm="1">
        <f t="array" ref="D137">IF(AND(LEN(INDEX(#REF!,pers_fixed_notes[[#This Row],[Row nr]],1))=0,LEN(INDEX(#REF!,pers_fixed_notes[[#This Row],[Row nr]],1))&gt;0),checks!$B$74,"")</f>
        <v>#REF!</v>
      </c>
      <c r="E137" s="111" t="e" cm="1">
        <f t="array" ref="E137">IF(AND(LEN(INDEX(#REF!,pers_fixed_notes[[#This Row],[Row nr]],1))&gt;0,#REF!&gt;pers_fixed_max_amount),checks!$B$72,"")</f>
        <v>#REF!</v>
      </c>
      <c r="F137" s="111" t="e" cm="1">
        <f t="array" aca="1" ref="F137" ca="1">IF(AND(LEN(INDEX(#REF!,pers_fixed_notes[[#This Row],[Row nr]],1))&gt;0,#REF!&gt;pers_fixed_max_perc*Total_NWO_funding),checks!$B$73,"")</f>
        <v>#REF!</v>
      </c>
      <c r="G137" s="111" t="e">
        <f>IF(AND(organisation_type="yes",_xlfn.SINGLE(INDEX(#REF!,pers_fixed_notes[[#This Row],[Row nr]],1))&lt;&gt;"",ISBLANK(_xlfn.SINGLE(INDEX(#REF!,pers_fixed_notes[[#This Row],[Row nr]],1)))),$B$53,"")</f>
        <v>#REF!</v>
      </c>
      <c r="H137" s="111" t="e">
        <f>IF(AND(organisation_name="yes",_xlfn.SINGLE(INDEX(#REF!,pers_fixed_notes[[#This Row],[Row nr]],1))&lt;&gt;"",ISBLANK(_xlfn.SINGLE(INDEX(#REF!,pers_fixed_notes[[#This Row],[Row nr]],1)))),$B$54,"")</f>
        <v>#REF!</v>
      </c>
    </row>
    <row r="138" spans="1:8" hidden="1" outlineLevel="2" x14ac:dyDescent="0.3">
      <c r="A138" s="268">
        <v>8</v>
      </c>
      <c r="B138" s="111" t="str" cm="1">
        <f t="array" aca="1" ref="B138" ca="1">IFERROR(INDEX(pers_fixed_notes[[#This Row],[Empty lines]:[Name organisation not provided]],1,MATCH(TRUE,LEN(pers_fixed_notes[[#This Row],[Empty lines]:[Name organisation not provided]])&gt;0,0)),"")</f>
        <v/>
      </c>
      <c r="C138" s="111" t="str">
        <f>IFERROR(IF(AND(empty_lines="no",LEN(_xlfn.SINGLE(INDEX(#REF!,pers_fixed_notes[[#This Row],[Row nr]])))=0,LEN(_xlfn.SINGLE(INDEX(#REF!,pers_fixed_notes[[#This Row],[Row nr]]+1)))&gt;0),$B$36,""),"")</f>
        <v/>
      </c>
      <c r="D138" s="111" t="e" cm="1">
        <f t="array" ref="D138">IF(AND(LEN(INDEX(#REF!,pers_fixed_notes[[#This Row],[Row nr]],1))=0,LEN(INDEX(#REF!,pers_fixed_notes[[#This Row],[Row nr]],1))&gt;0),checks!$B$74,"")</f>
        <v>#REF!</v>
      </c>
      <c r="E138" s="111" t="e" cm="1">
        <f t="array" ref="E138">IF(AND(LEN(INDEX(#REF!,pers_fixed_notes[[#This Row],[Row nr]],1))&gt;0,#REF!&gt;pers_fixed_max_amount),checks!$B$72,"")</f>
        <v>#REF!</v>
      </c>
      <c r="F138" s="111" t="e" cm="1">
        <f t="array" aca="1" ref="F138" ca="1">IF(AND(LEN(INDEX(#REF!,pers_fixed_notes[[#This Row],[Row nr]],1))&gt;0,#REF!&gt;pers_fixed_max_perc*Total_NWO_funding),checks!$B$73,"")</f>
        <v>#REF!</v>
      </c>
      <c r="G138" s="111" t="e">
        <f>IF(AND(organisation_type="yes",_xlfn.SINGLE(INDEX(#REF!,pers_fixed_notes[[#This Row],[Row nr]],1))&lt;&gt;"",ISBLANK(_xlfn.SINGLE(INDEX(#REF!,pers_fixed_notes[[#This Row],[Row nr]],1)))),$B$53,"")</f>
        <v>#REF!</v>
      </c>
      <c r="H138" s="111" t="e">
        <f>IF(AND(organisation_name="yes",_xlfn.SINGLE(INDEX(#REF!,pers_fixed_notes[[#This Row],[Row nr]],1))&lt;&gt;"",ISBLANK(_xlfn.SINGLE(INDEX(#REF!,pers_fixed_notes[[#This Row],[Row nr]],1)))),$B$54,"")</f>
        <v>#REF!</v>
      </c>
    </row>
    <row r="139" spans="1:8" hidden="1" outlineLevel="2" x14ac:dyDescent="0.3">
      <c r="A139" s="266">
        <v>9</v>
      </c>
      <c r="B139" s="111" t="str" cm="1">
        <f t="array" aca="1" ref="B139" ca="1">IFERROR(INDEX(pers_fixed_notes[[#This Row],[Empty lines]:[Name organisation not provided]],1,MATCH(TRUE,LEN(pers_fixed_notes[[#This Row],[Empty lines]:[Name organisation not provided]])&gt;0,0)),"")</f>
        <v/>
      </c>
      <c r="C139" s="111" t="str">
        <f>IFERROR(IF(AND(empty_lines="no",LEN(_xlfn.SINGLE(INDEX(#REF!,pers_fixed_notes[[#This Row],[Row nr]])))=0,LEN(_xlfn.SINGLE(INDEX(#REF!,pers_fixed_notes[[#This Row],[Row nr]]+1)))&gt;0),$B$36,""),"")</f>
        <v/>
      </c>
      <c r="D139" s="111" t="e" cm="1">
        <f t="array" ref="D139">IF(AND(LEN(INDEX(#REF!,pers_fixed_notes[[#This Row],[Row nr]],1))=0,LEN(INDEX(#REF!,pers_fixed_notes[[#This Row],[Row nr]],1))&gt;0),checks!$B$74,"")</f>
        <v>#REF!</v>
      </c>
      <c r="E139" s="111" t="e" cm="1">
        <f t="array" ref="E139">IF(AND(LEN(INDEX(#REF!,pers_fixed_notes[[#This Row],[Row nr]],1))&gt;0,#REF!&gt;pers_fixed_max_amount),checks!$B$72,"")</f>
        <v>#REF!</v>
      </c>
      <c r="F139" s="111" t="e" cm="1">
        <f t="array" aca="1" ref="F139" ca="1">IF(AND(LEN(INDEX(#REF!,pers_fixed_notes[[#This Row],[Row nr]],1))&gt;0,#REF!&gt;pers_fixed_max_perc*Total_NWO_funding),checks!$B$73,"")</f>
        <v>#REF!</v>
      </c>
      <c r="G139" s="111" t="e">
        <f>IF(AND(organisation_type="yes",_xlfn.SINGLE(INDEX(#REF!,pers_fixed_notes[[#This Row],[Row nr]],1))&lt;&gt;"",ISBLANK(_xlfn.SINGLE(INDEX(#REF!,pers_fixed_notes[[#This Row],[Row nr]],1)))),$B$53,"")</f>
        <v>#REF!</v>
      </c>
      <c r="H139" s="111" t="e">
        <f>IF(AND(organisation_name="yes",_xlfn.SINGLE(INDEX(#REF!,pers_fixed_notes[[#This Row],[Row nr]],1))&lt;&gt;"",ISBLANK(_xlfn.SINGLE(INDEX(#REF!,pers_fixed_notes[[#This Row],[Row nr]],1)))),$B$54,"")</f>
        <v>#REF!</v>
      </c>
    </row>
    <row r="140" spans="1:8" hidden="1" outlineLevel="2" x14ac:dyDescent="0.3">
      <c r="A140" s="268">
        <v>10</v>
      </c>
      <c r="B140" s="111" t="str" cm="1">
        <f t="array" aca="1" ref="B140" ca="1">IFERROR(INDEX(pers_fixed_notes[[#This Row],[Empty lines]:[Name organisation not provided]],1,MATCH(TRUE,LEN(pers_fixed_notes[[#This Row],[Empty lines]:[Name organisation not provided]])&gt;0,0)),"")</f>
        <v/>
      </c>
      <c r="C140" s="111" t="str">
        <f>IFERROR(IF(AND(empty_lines="no",LEN(_xlfn.SINGLE(INDEX(#REF!,pers_fixed_notes[[#This Row],[Row nr]])))=0,LEN(_xlfn.SINGLE(INDEX(#REF!,pers_fixed_notes[[#This Row],[Row nr]]+1)))&gt;0),$B$36,""),"")</f>
        <v/>
      </c>
      <c r="D140" s="111" t="e" cm="1">
        <f t="array" ref="D140">IF(AND(LEN(INDEX(#REF!,pers_fixed_notes[[#This Row],[Row nr]],1))=0,LEN(INDEX(#REF!,pers_fixed_notes[[#This Row],[Row nr]],1))&gt;0),checks!$B$74,"")</f>
        <v>#REF!</v>
      </c>
      <c r="E140" s="111" t="e" cm="1">
        <f t="array" ref="E140">IF(AND(LEN(INDEX(#REF!,pers_fixed_notes[[#This Row],[Row nr]],1))&gt;0,#REF!&gt;pers_fixed_max_amount),checks!$B$72,"")</f>
        <v>#REF!</v>
      </c>
      <c r="F140" s="111" t="e" cm="1">
        <f t="array" aca="1" ref="F140" ca="1">IF(AND(LEN(INDEX(#REF!,pers_fixed_notes[[#This Row],[Row nr]],1))&gt;0,#REF!&gt;pers_fixed_max_perc*Total_NWO_funding),checks!$B$73,"")</f>
        <v>#REF!</v>
      </c>
      <c r="G140" s="111" t="e">
        <f>IF(AND(organisation_type="yes",_xlfn.SINGLE(INDEX(#REF!,pers_fixed_notes[[#This Row],[Row nr]],1))&lt;&gt;"",ISBLANK(_xlfn.SINGLE(INDEX(#REF!,pers_fixed_notes[[#This Row],[Row nr]],1)))),$B$53,"")</f>
        <v>#REF!</v>
      </c>
      <c r="H140" s="111" t="e">
        <f>IF(AND(organisation_name="yes",_xlfn.SINGLE(INDEX(#REF!,pers_fixed_notes[[#This Row],[Row nr]],1))&lt;&gt;"",ISBLANK(_xlfn.SINGLE(INDEX(#REF!,pers_fixed_notes[[#This Row],[Row nr]],1)))),$B$54,"")</f>
        <v>#REF!</v>
      </c>
    </row>
    <row r="141" spans="1:8" hidden="1" outlineLevel="2" x14ac:dyDescent="0.3">
      <c r="A141" s="266">
        <v>11</v>
      </c>
      <c r="B141" s="111" t="str" cm="1">
        <f t="array" aca="1" ref="B141" ca="1">IFERROR(INDEX(pers_fixed_notes[[#This Row],[Empty lines]:[Name organisation not provided]],1,MATCH(TRUE,LEN(pers_fixed_notes[[#This Row],[Empty lines]:[Name organisation not provided]])&gt;0,0)),"")</f>
        <v/>
      </c>
      <c r="C141" s="111" t="str">
        <f>IFERROR(IF(AND(empty_lines="no",LEN(_xlfn.SINGLE(INDEX(#REF!,pers_fixed_notes[[#This Row],[Row nr]])))=0,LEN(_xlfn.SINGLE(INDEX(#REF!,pers_fixed_notes[[#This Row],[Row nr]]+1)))&gt;0),$B$36,""),"")</f>
        <v/>
      </c>
      <c r="D141" s="111" t="e" cm="1">
        <f t="array" ref="D141">IF(AND(LEN(INDEX(#REF!,pers_fixed_notes[[#This Row],[Row nr]],1))=0,LEN(INDEX(#REF!,pers_fixed_notes[[#This Row],[Row nr]],1))&gt;0),checks!$B$74,"")</f>
        <v>#REF!</v>
      </c>
      <c r="E141" s="111" t="e" cm="1">
        <f t="array" ref="E141">IF(AND(LEN(INDEX(#REF!,pers_fixed_notes[[#This Row],[Row nr]],1))&gt;0,#REF!&gt;pers_fixed_max_amount),checks!$B$72,"")</f>
        <v>#REF!</v>
      </c>
      <c r="F141" s="111" t="e" cm="1">
        <f t="array" aca="1" ref="F141" ca="1">IF(AND(LEN(INDEX(#REF!,pers_fixed_notes[[#This Row],[Row nr]],1))&gt;0,#REF!&gt;pers_fixed_max_perc*Total_NWO_funding),checks!$B$73,"")</f>
        <v>#REF!</v>
      </c>
      <c r="G141" s="111" t="e">
        <f>IF(AND(organisation_type="yes",_xlfn.SINGLE(INDEX(#REF!,pers_fixed_notes[[#This Row],[Row nr]],1))&lt;&gt;"",ISBLANK(_xlfn.SINGLE(INDEX(#REF!,pers_fixed_notes[[#This Row],[Row nr]],1)))),$B$53,"")</f>
        <v>#REF!</v>
      </c>
      <c r="H141" s="111" t="e">
        <f>IF(AND(organisation_name="yes",_xlfn.SINGLE(INDEX(#REF!,pers_fixed_notes[[#This Row],[Row nr]],1))&lt;&gt;"",ISBLANK(_xlfn.SINGLE(INDEX(#REF!,pers_fixed_notes[[#This Row],[Row nr]],1)))),$B$54,"")</f>
        <v>#REF!</v>
      </c>
    </row>
    <row r="142" spans="1:8" hidden="1" outlineLevel="2" x14ac:dyDescent="0.3">
      <c r="A142" s="268">
        <v>12</v>
      </c>
      <c r="B142" s="111" t="str" cm="1">
        <f t="array" aca="1" ref="B142" ca="1">IFERROR(INDEX(pers_fixed_notes[[#This Row],[Empty lines]:[Name organisation not provided]],1,MATCH(TRUE,LEN(pers_fixed_notes[[#This Row],[Empty lines]:[Name organisation not provided]])&gt;0,0)),"")</f>
        <v/>
      </c>
      <c r="C142" s="111" t="str">
        <f>IFERROR(IF(AND(empty_lines="no",LEN(_xlfn.SINGLE(INDEX(#REF!,pers_fixed_notes[[#This Row],[Row nr]])))=0,LEN(_xlfn.SINGLE(INDEX(#REF!,pers_fixed_notes[[#This Row],[Row nr]]+1)))&gt;0),$B$36,""),"")</f>
        <v/>
      </c>
      <c r="D142" s="111" t="e" cm="1">
        <f t="array" ref="D142">IF(AND(LEN(INDEX(#REF!,pers_fixed_notes[[#This Row],[Row nr]],1))=0,LEN(INDEX(#REF!,pers_fixed_notes[[#This Row],[Row nr]],1))&gt;0),checks!$B$74,"")</f>
        <v>#REF!</v>
      </c>
      <c r="E142" s="111" t="e" cm="1">
        <f t="array" ref="E142">IF(AND(LEN(INDEX(#REF!,pers_fixed_notes[[#This Row],[Row nr]],1))&gt;0,#REF!&gt;pers_fixed_max_amount),checks!$B$72,"")</f>
        <v>#REF!</v>
      </c>
      <c r="F142" s="111" t="e" cm="1">
        <f t="array" aca="1" ref="F142" ca="1">IF(AND(LEN(INDEX(#REF!,pers_fixed_notes[[#This Row],[Row nr]],1))&gt;0,#REF!&gt;pers_fixed_max_perc*Total_NWO_funding),checks!$B$73,"")</f>
        <v>#REF!</v>
      </c>
      <c r="G142" s="111" t="e">
        <f>IF(AND(organisation_type="yes",_xlfn.SINGLE(INDEX(#REF!,pers_fixed_notes[[#This Row],[Row nr]],1))&lt;&gt;"",ISBLANK(_xlfn.SINGLE(INDEX(#REF!,pers_fixed_notes[[#This Row],[Row nr]],1)))),$B$53,"")</f>
        <v>#REF!</v>
      </c>
      <c r="H142" s="111" t="e">
        <f>IF(AND(organisation_name="yes",_xlfn.SINGLE(INDEX(#REF!,pers_fixed_notes[[#This Row],[Row nr]],1))&lt;&gt;"",ISBLANK(_xlfn.SINGLE(INDEX(#REF!,pers_fixed_notes[[#This Row],[Row nr]],1)))),$B$54,"")</f>
        <v>#REF!</v>
      </c>
    </row>
    <row r="143" spans="1:8" hidden="1" outlineLevel="2" x14ac:dyDescent="0.3">
      <c r="A143" s="266">
        <v>13</v>
      </c>
      <c r="B143" s="111" t="str" cm="1">
        <f t="array" aca="1" ref="B143" ca="1">IFERROR(INDEX(pers_fixed_notes[[#This Row],[Empty lines]:[Name organisation not provided]],1,MATCH(TRUE,LEN(pers_fixed_notes[[#This Row],[Empty lines]:[Name organisation not provided]])&gt;0,0)),"")</f>
        <v/>
      </c>
      <c r="C143" s="111" t="str">
        <f>IFERROR(IF(AND(empty_lines="no",LEN(_xlfn.SINGLE(INDEX(#REF!,pers_fixed_notes[[#This Row],[Row nr]])))=0,LEN(_xlfn.SINGLE(INDEX(#REF!,pers_fixed_notes[[#This Row],[Row nr]]+1)))&gt;0),$B$36,""),"")</f>
        <v/>
      </c>
      <c r="D143" s="111" t="e" cm="1">
        <f t="array" ref="D143">IF(AND(LEN(INDEX(#REF!,pers_fixed_notes[[#This Row],[Row nr]],1))=0,LEN(INDEX(#REF!,pers_fixed_notes[[#This Row],[Row nr]],1))&gt;0),checks!$B$74,"")</f>
        <v>#REF!</v>
      </c>
      <c r="E143" s="111" t="e" cm="1">
        <f t="array" ref="E143">IF(AND(LEN(INDEX(#REF!,pers_fixed_notes[[#This Row],[Row nr]],1))&gt;0,#REF!&gt;pers_fixed_max_amount),checks!$B$72,"")</f>
        <v>#REF!</v>
      </c>
      <c r="F143" s="111" t="e" cm="1">
        <f t="array" aca="1" ref="F143" ca="1">IF(AND(LEN(INDEX(#REF!,pers_fixed_notes[[#This Row],[Row nr]],1))&gt;0,#REF!&gt;pers_fixed_max_perc*Total_NWO_funding),checks!$B$73,"")</f>
        <v>#REF!</v>
      </c>
      <c r="G143" s="111" t="e">
        <f>IF(AND(organisation_type="yes",_xlfn.SINGLE(INDEX(#REF!,pers_fixed_notes[[#This Row],[Row nr]],1))&lt;&gt;"",ISBLANK(_xlfn.SINGLE(INDEX(#REF!,pers_fixed_notes[[#This Row],[Row nr]],1)))),$B$53,"")</f>
        <v>#REF!</v>
      </c>
      <c r="H143" s="111" t="e">
        <f>IF(AND(organisation_name="yes",_xlfn.SINGLE(INDEX(#REF!,pers_fixed_notes[[#This Row],[Row nr]],1))&lt;&gt;"",ISBLANK(_xlfn.SINGLE(INDEX(#REF!,pers_fixed_notes[[#This Row],[Row nr]],1)))),$B$54,"")</f>
        <v>#REF!</v>
      </c>
    </row>
    <row r="144" spans="1:8" hidden="1" outlineLevel="2" x14ac:dyDescent="0.3">
      <c r="A144" s="268">
        <v>14</v>
      </c>
      <c r="B144" s="111" t="str" cm="1">
        <f t="array" aca="1" ref="B144" ca="1">IFERROR(INDEX(pers_fixed_notes[[#This Row],[Empty lines]:[Name organisation not provided]],1,MATCH(TRUE,LEN(pers_fixed_notes[[#This Row],[Empty lines]:[Name organisation not provided]])&gt;0,0)),"")</f>
        <v/>
      </c>
      <c r="C144" s="111" t="str">
        <f>IFERROR(IF(AND(empty_lines="no",LEN(_xlfn.SINGLE(INDEX(#REF!,pers_fixed_notes[[#This Row],[Row nr]])))=0,LEN(_xlfn.SINGLE(INDEX(#REF!,pers_fixed_notes[[#This Row],[Row nr]]+1)))&gt;0),$B$36,""),"")</f>
        <v/>
      </c>
      <c r="D144" s="111" t="e" cm="1">
        <f t="array" ref="D144">IF(AND(LEN(INDEX(#REF!,pers_fixed_notes[[#This Row],[Row nr]],1))=0,LEN(INDEX(#REF!,pers_fixed_notes[[#This Row],[Row nr]],1))&gt;0),checks!$B$74,"")</f>
        <v>#REF!</v>
      </c>
      <c r="E144" s="111" t="e" cm="1">
        <f t="array" ref="E144">IF(AND(LEN(INDEX(#REF!,pers_fixed_notes[[#This Row],[Row nr]],1))&gt;0,#REF!&gt;pers_fixed_max_amount),checks!$B$72,"")</f>
        <v>#REF!</v>
      </c>
      <c r="F144" s="111" t="e" cm="1">
        <f t="array" aca="1" ref="F144" ca="1">IF(AND(LEN(INDEX(#REF!,pers_fixed_notes[[#This Row],[Row nr]],1))&gt;0,#REF!&gt;pers_fixed_max_perc*Total_NWO_funding),checks!$B$73,"")</f>
        <v>#REF!</v>
      </c>
      <c r="G144" s="111" t="e">
        <f>IF(AND(organisation_type="yes",_xlfn.SINGLE(INDEX(#REF!,pers_fixed_notes[[#This Row],[Row nr]],1))&lt;&gt;"",ISBLANK(_xlfn.SINGLE(INDEX(#REF!,pers_fixed_notes[[#This Row],[Row nr]],1)))),$B$53,"")</f>
        <v>#REF!</v>
      </c>
      <c r="H144" s="111" t="e">
        <f>IF(AND(organisation_name="yes",_xlfn.SINGLE(INDEX(#REF!,pers_fixed_notes[[#This Row],[Row nr]],1))&lt;&gt;"",ISBLANK(_xlfn.SINGLE(INDEX(#REF!,pers_fixed_notes[[#This Row],[Row nr]],1)))),$B$54,"")</f>
        <v>#REF!</v>
      </c>
    </row>
    <row r="145" spans="1:8" hidden="1" outlineLevel="2" x14ac:dyDescent="0.3">
      <c r="A145" s="266">
        <v>15</v>
      </c>
      <c r="B145" s="111" t="str" cm="1">
        <f t="array" aca="1" ref="B145" ca="1">IFERROR(INDEX(pers_fixed_notes[[#This Row],[Empty lines]:[Name organisation not provided]],1,MATCH(TRUE,LEN(pers_fixed_notes[[#This Row],[Empty lines]:[Name organisation not provided]])&gt;0,0)),"")</f>
        <v/>
      </c>
      <c r="C145" s="111" t="str">
        <f>IFERROR(IF(AND(empty_lines="no",LEN(_xlfn.SINGLE(INDEX(#REF!,pers_fixed_notes[[#This Row],[Row nr]])))=0,LEN(_xlfn.SINGLE(INDEX(#REF!,pers_fixed_notes[[#This Row],[Row nr]]+1)))&gt;0),$B$36,""),"")</f>
        <v/>
      </c>
      <c r="D145" s="111" t="e" cm="1">
        <f t="array" ref="D145">IF(AND(LEN(INDEX(#REF!,pers_fixed_notes[[#This Row],[Row nr]],1))=0,LEN(INDEX(#REF!,pers_fixed_notes[[#This Row],[Row nr]],1))&gt;0),checks!$B$74,"")</f>
        <v>#REF!</v>
      </c>
      <c r="E145" s="111" t="e" cm="1">
        <f t="array" ref="E145">IF(AND(LEN(INDEX(#REF!,pers_fixed_notes[[#This Row],[Row nr]],1))&gt;0,#REF!&gt;pers_fixed_max_amount),checks!$B$72,"")</f>
        <v>#REF!</v>
      </c>
      <c r="F145" s="111" t="e" cm="1">
        <f t="array" aca="1" ref="F145" ca="1">IF(AND(LEN(INDEX(#REF!,pers_fixed_notes[[#This Row],[Row nr]],1))&gt;0,#REF!&gt;pers_fixed_max_perc*Total_NWO_funding),checks!$B$73,"")</f>
        <v>#REF!</v>
      </c>
      <c r="G145" s="111" t="e">
        <f>IF(AND(organisation_type="yes",_xlfn.SINGLE(INDEX(#REF!,pers_fixed_notes[[#This Row],[Row nr]],1))&lt;&gt;"",ISBLANK(_xlfn.SINGLE(INDEX(#REF!,pers_fixed_notes[[#This Row],[Row nr]],1)))),$B$53,"")</f>
        <v>#REF!</v>
      </c>
      <c r="H145" s="111" t="e">
        <f>IF(AND(organisation_name="yes",_xlfn.SINGLE(INDEX(#REF!,pers_fixed_notes[[#This Row],[Row nr]],1))&lt;&gt;"",ISBLANK(_xlfn.SINGLE(INDEX(#REF!,pers_fixed_notes[[#This Row],[Row nr]],1)))),$B$54,"")</f>
        <v>#REF!</v>
      </c>
    </row>
    <row r="146" spans="1:8" hidden="1" outlineLevel="2" x14ac:dyDescent="0.3">
      <c r="A146" s="268">
        <v>16</v>
      </c>
      <c r="B146" s="111" t="str" cm="1">
        <f t="array" aca="1" ref="B146" ca="1">IFERROR(INDEX(pers_fixed_notes[[#This Row],[Empty lines]:[Name organisation not provided]],1,MATCH(TRUE,LEN(pers_fixed_notes[[#This Row],[Empty lines]:[Name organisation not provided]])&gt;0,0)),"")</f>
        <v/>
      </c>
      <c r="C146" s="111" t="str">
        <f>IFERROR(IF(AND(empty_lines="no",LEN(_xlfn.SINGLE(INDEX(#REF!,pers_fixed_notes[[#This Row],[Row nr]])))=0,LEN(_xlfn.SINGLE(INDEX(#REF!,pers_fixed_notes[[#This Row],[Row nr]]+1)))&gt;0),$B$36,""),"")</f>
        <v/>
      </c>
      <c r="D146" s="111" t="e" cm="1">
        <f t="array" ref="D146">IF(AND(LEN(INDEX(#REF!,pers_fixed_notes[[#This Row],[Row nr]],1))=0,LEN(INDEX(#REF!,pers_fixed_notes[[#This Row],[Row nr]],1))&gt;0),checks!$B$74,"")</f>
        <v>#REF!</v>
      </c>
      <c r="E146" s="111" t="e" cm="1">
        <f t="array" ref="E146">IF(AND(LEN(INDEX(#REF!,pers_fixed_notes[[#This Row],[Row nr]],1))&gt;0,#REF!&gt;pers_fixed_max_amount),checks!$B$72,"")</f>
        <v>#REF!</v>
      </c>
      <c r="F146" s="111" t="e" cm="1">
        <f t="array" aca="1" ref="F146" ca="1">IF(AND(LEN(INDEX(#REF!,pers_fixed_notes[[#This Row],[Row nr]],1))&gt;0,#REF!&gt;pers_fixed_max_perc*Total_NWO_funding),checks!$B$73,"")</f>
        <v>#REF!</v>
      </c>
      <c r="G146" s="111" t="e">
        <f>IF(AND(organisation_type="yes",_xlfn.SINGLE(INDEX(#REF!,pers_fixed_notes[[#This Row],[Row nr]],1))&lt;&gt;"",ISBLANK(_xlfn.SINGLE(INDEX(#REF!,pers_fixed_notes[[#This Row],[Row nr]],1)))),$B$53,"")</f>
        <v>#REF!</v>
      </c>
      <c r="H146" s="111" t="e">
        <f>IF(AND(organisation_name="yes",_xlfn.SINGLE(INDEX(#REF!,pers_fixed_notes[[#This Row],[Row nr]],1))&lt;&gt;"",ISBLANK(_xlfn.SINGLE(INDEX(#REF!,pers_fixed_notes[[#This Row],[Row nr]],1)))),$B$54,"")</f>
        <v>#REF!</v>
      </c>
    </row>
    <row r="147" spans="1:8" hidden="1" outlineLevel="2" x14ac:dyDescent="0.3">
      <c r="A147" s="266">
        <v>17</v>
      </c>
      <c r="B147" s="111" t="str" cm="1">
        <f t="array" aca="1" ref="B147" ca="1">IFERROR(INDEX(pers_fixed_notes[[#This Row],[Empty lines]:[Name organisation not provided]],1,MATCH(TRUE,LEN(pers_fixed_notes[[#This Row],[Empty lines]:[Name organisation not provided]])&gt;0,0)),"")</f>
        <v/>
      </c>
      <c r="C147" s="111" t="str">
        <f>IFERROR(IF(AND(empty_lines="no",LEN(_xlfn.SINGLE(INDEX(#REF!,pers_fixed_notes[[#This Row],[Row nr]])))=0,LEN(_xlfn.SINGLE(INDEX(#REF!,pers_fixed_notes[[#This Row],[Row nr]]+1)))&gt;0),$B$36,""),"")</f>
        <v/>
      </c>
      <c r="D147" s="111" t="e" cm="1">
        <f t="array" ref="D147">IF(AND(LEN(INDEX(#REF!,pers_fixed_notes[[#This Row],[Row nr]],1))=0,LEN(INDEX(#REF!,pers_fixed_notes[[#This Row],[Row nr]],1))&gt;0),checks!$B$74,"")</f>
        <v>#REF!</v>
      </c>
      <c r="E147" s="111" t="e" cm="1">
        <f t="array" ref="E147">IF(AND(LEN(INDEX(#REF!,pers_fixed_notes[[#This Row],[Row nr]],1))&gt;0,#REF!&gt;pers_fixed_max_amount),checks!$B$72,"")</f>
        <v>#REF!</v>
      </c>
      <c r="F147" s="111" t="e" cm="1">
        <f t="array" aca="1" ref="F147" ca="1">IF(AND(LEN(INDEX(#REF!,pers_fixed_notes[[#This Row],[Row nr]],1))&gt;0,#REF!&gt;pers_fixed_max_perc*Total_NWO_funding),checks!$B$73,"")</f>
        <v>#REF!</v>
      </c>
      <c r="G147" s="111" t="e">
        <f>IF(AND(organisation_type="yes",_xlfn.SINGLE(INDEX(#REF!,pers_fixed_notes[[#This Row],[Row nr]],1))&lt;&gt;"",ISBLANK(_xlfn.SINGLE(INDEX(#REF!,pers_fixed_notes[[#This Row],[Row nr]],1)))),$B$53,"")</f>
        <v>#REF!</v>
      </c>
      <c r="H147" s="111" t="e">
        <f>IF(AND(organisation_name="yes",_xlfn.SINGLE(INDEX(#REF!,pers_fixed_notes[[#This Row],[Row nr]],1))&lt;&gt;"",ISBLANK(_xlfn.SINGLE(INDEX(#REF!,pers_fixed_notes[[#This Row],[Row nr]],1)))),$B$54,"")</f>
        <v>#REF!</v>
      </c>
    </row>
    <row r="148" spans="1:8" hidden="1" outlineLevel="2" x14ac:dyDescent="0.3">
      <c r="A148" s="268">
        <v>18</v>
      </c>
      <c r="B148" s="111" t="str" cm="1">
        <f t="array" aca="1" ref="B148" ca="1">IFERROR(INDEX(pers_fixed_notes[[#This Row],[Empty lines]:[Name organisation not provided]],1,MATCH(TRUE,LEN(pers_fixed_notes[[#This Row],[Empty lines]:[Name organisation not provided]])&gt;0,0)),"")</f>
        <v/>
      </c>
      <c r="C148" s="111" t="str">
        <f>IFERROR(IF(AND(empty_lines="no",LEN(_xlfn.SINGLE(INDEX(#REF!,pers_fixed_notes[[#This Row],[Row nr]])))=0,LEN(_xlfn.SINGLE(INDEX(#REF!,pers_fixed_notes[[#This Row],[Row nr]]+1)))&gt;0),$B$36,""),"")</f>
        <v/>
      </c>
      <c r="D148" s="111" t="e" cm="1">
        <f t="array" ref="D148">IF(AND(LEN(INDEX(#REF!,pers_fixed_notes[[#This Row],[Row nr]],1))=0,LEN(INDEX(#REF!,pers_fixed_notes[[#This Row],[Row nr]],1))&gt;0),checks!$B$74,"")</f>
        <v>#REF!</v>
      </c>
      <c r="E148" s="111" t="e" cm="1">
        <f t="array" ref="E148">IF(AND(LEN(INDEX(#REF!,pers_fixed_notes[[#This Row],[Row nr]],1))&gt;0,#REF!&gt;pers_fixed_max_amount),checks!$B$72,"")</f>
        <v>#REF!</v>
      </c>
      <c r="F148" s="111" t="e" cm="1">
        <f t="array" aca="1" ref="F148" ca="1">IF(AND(LEN(INDEX(#REF!,pers_fixed_notes[[#This Row],[Row nr]],1))&gt;0,#REF!&gt;pers_fixed_max_perc*Total_NWO_funding),checks!$B$73,"")</f>
        <v>#REF!</v>
      </c>
      <c r="G148" s="111" t="e">
        <f>IF(AND(organisation_type="yes",_xlfn.SINGLE(INDEX(#REF!,pers_fixed_notes[[#This Row],[Row nr]],1))&lt;&gt;"",ISBLANK(_xlfn.SINGLE(INDEX(#REF!,pers_fixed_notes[[#This Row],[Row nr]],1)))),$B$53,"")</f>
        <v>#REF!</v>
      </c>
      <c r="H148" s="111" t="e">
        <f>IF(AND(organisation_name="yes",_xlfn.SINGLE(INDEX(#REF!,pers_fixed_notes[[#This Row],[Row nr]],1))&lt;&gt;"",ISBLANK(_xlfn.SINGLE(INDEX(#REF!,pers_fixed_notes[[#This Row],[Row nr]],1)))),$B$54,"")</f>
        <v>#REF!</v>
      </c>
    </row>
    <row r="149" spans="1:8" hidden="1" outlineLevel="2" x14ac:dyDescent="0.3">
      <c r="A149" s="266">
        <v>19</v>
      </c>
      <c r="B149" s="111" t="str" cm="1">
        <f t="array" aca="1" ref="B149" ca="1">IFERROR(INDEX(pers_fixed_notes[[#This Row],[Empty lines]:[Name organisation not provided]],1,MATCH(TRUE,LEN(pers_fixed_notes[[#This Row],[Empty lines]:[Name organisation not provided]])&gt;0,0)),"")</f>
        <v/>
      </c>
      <c r="C149" s="111" t="str">
        <f>IFERROR(IF(AND(empty_lines="no",LEN(_xlfn.SINGLE(INDEX(#REF!,pers_fixed_notes[[#This Row],[Row nr]])))=0,LEN(_xlfn.SINGLE(INDEX(#REF!,pers_fixed_notes[[#This Row],[Row nr]]+1)))&gt;0),$B$36,""),"")</f>
        <v/>
      </c>
      <c r="D149" s="111" t="e" cm="1">
        <f t="array" ref="D149">IF(AND(LEN(INDEX(#REF!,pers_fixed_notes[[#This Row],[Row nr]],1))=0,LEN(INDEX(#REF!,pers_fixed_notes[[#This Row],[Row nr]],1))&gt;0),checks!$B$74,"")</f>
        <v>#REF!</v>
      </c>
      <c r="E149" s="111" t="e" cm="1">
        <f t="array" ref="E149">IF(AND(LEN(INDEX(#REF!,pers_fixed_notes[[#This Row],[Row nr]],1))&gt;0,#REF!&gt;pers_fixed_max_amount),checks!$B$72,"")</f>
        <v>#REF!</v>
      </c>
      <c r="F149" s="111" t="e" cm="1">
        <f t="array" aca="1" ref="F149" ca="1">IF(AND(LEN(INDEX(#REF!,pers_fixed_notes[[#This Row],[Row nr]],1))&gt;0,#REF!&gt;pers_fixed_max_perc*Total_NWO_funding),checks!$B$73,"")</f>
        <v>#REF!</v>
      </c>
      <c r="G149" s="111" t="e">
        <f>IF(AND(organisation_type="yes",_xlfn.SINGLE(INDEX(#REF!,pers_fixed_notes[[#This Row],[Row nr]],1))&lt;&gt;"",ISBLANK(_xlfn.SINGLE(INDEX(#REF!,pers_fixed_notes[[#This Row],[Row nr]],1)))),$B$53,"")</f>
        <v>#REF!</v>
      </c>
      <c r="H149" s="111" t="e">
        <f>IF(AND(organisation_name="yes",_xlfn.SINGLE(INDEX(#REF!,pers_fixed_notes[[#This Row],[Row nr]],1))&lt;&gt;"",ISBLANK(_xlfn.SINGLE(INDEX(#REF!,pers_fixed_notes[[#This Row],[Row nr]],1)))),$B$54,"")</f>
        <v>#REF!</v>
      </c>
    </row>
    <row r="150" spans="1:8" hidden="1" outlineLevel="2" x14ac:dyDescent="0.3">
      <c r="A150" s="268">
        <v>20</v>
      </c>
      <c r="B150" s="111" t="str" cm="1">
        <f t="array" aca="1" ref="B150" ca="1">IFERROR(INDEX(pers_fixed_notes[[#This Row],[Empty lines]:[Name organisation not provided]],1,MATCH(TRUE,LEN(pers_fixed_notes[[#This Row],[Empty lines]:[Name organisation not provided]])&gt;0,0)),"")</f>
        <v/>
      </c>
      <c r="C150" s="111" t="str">
        <f>IFERROR(IF(AND(empty_lines="no",LEN(_xlfn.SINGLE(INDEX(#REF!,pers_fixed_notes[[#This Row],[Row nr]])))=0,LEN(_xlfn.SINGLE(INDEX(#REF!,pers_fixed_notes[[#This Row],[Row nr]]+1)))&gt;0),$B$36,""),"")</f>
        <v/>
      </c>
      <c r="D150" s="111" t="e" cm="1">
        <f t="array" ref="D150">IF(AND(LEN(INDEX(#REF!,pers_fixed_notes[[#This Row],[Row nr]],1))=0,LEN(INDEX(#REF!,pers_fixed_notes[[#This Row],[Row nr]],1))&gt;0),checks!$B$74,"")</f>
        <v>#REF!</v>
      </c>
      <c r="E150" s="111" t="e" cm="1">
        <f t="array" ref="E150">IF(AND(LEN(INDEX(#REF!,pers_fixed_notes[[#This Row],[Row nr]],1))&gt;0,#REF!&gt;pers_fixed_max_amount),checks!$B$72,"")</f>
        <v>#REF!</v>
      </c>
      <c r="F150" s="111" t="e" cm="1">
        <f t="array" aca="1" ref="F150" ca="1">IF(AND(LEN(INDEX(#REF!,pers_fixed_notes[[#This Row],[Row nr]],1))&gt;0,#REF!&gt;pers_fixed_max_perc*Total_NWO_funding),checks!$B$73,"")</f>
        <v>#REF!</v>
      </c>
      <c r="G150" s="111" t="e">
        <f>IF(AND(organisation_type="yes",_xlfn.SINGLE(INDEX(#REF!,pers_fixed_notes[[#This Row],[Row nr]],1))&lt;&gt;"",ISBLANK(_xlfn.SINGLE(INDEX(#REF!,pers_fixed_notes[[#This Row],[Row nr]],1)))),$B$53,"")</f>
        <v>#REF!</v>
      </c>
      <c r="H150" s="111" t="e">
        <f>IF(AND(organisation_name="yes",_xlfn.SINGLE(INDEX(#REF!,pers_fixed_notes[[#This Row],[Row nr]],1))&lt;&gt;"",ISBLANK(_xlfn.SINGLE(INDEX(#REF!,pers_fixed_notes[[#This Row],[Row nr]],1)))),$B$54,"")</f>
        <v>#REF!</v>
      </c>
    </row>
    <row r="151" spans="1:8" hidden="1" outlineLevel="2" x14ac:dyDescent="0.3">
      <c r="A151" s="266">
        <v>21</v>
      </c>
      <c r="B151" s="111" t="str" cm="1">
        <f t="array" aca="1" ref="B151" ca="1">IFERROR(INDEX(pers_fixed_notes[[#This Row],[Empty lines]:[Name organisation not provided]],1,MATCH(TRUE,LEN(pers_fixed_notes[[#This Row],[Empty lines]:[Name organisation not provided]])&gt;0,0)),"")</f>
        <v/>
      </c>
      <c r="C151" s="111" t="str">
        <f>IFERROR(IF(AND(empty_lines="no",LEN(_xlfn.SINGLE(INDEX(#REF!,pers_fixed_notes[[#This Row],[Row nr]])))=0,LEN(_xlfn.SINGLE(INDEX(#REF!,pers_fixed_notes[[#This Row],[Row nr]]+1)))&gt;0),$B$36,""),"")</f>
        <v/>
      </c>
      <c r="D151" s="111" t="e" cm="1">
        <f t="array" ref="D151">IF(AND(LEN(INDEX(#REF!,pers_fixed_notes[[#This Row],[Row nr]],1))=0,LEN(INDEX(#REF!,pers_fixed_notes[[#This Row],[Row nr]],1))&gt;0),checks!$B$74,"")</f>
        <v>#REF!</v>
      </c>
      <c r="E151" s="111" t="e" cm="1">
        <f t="array" ref="E151">IF(AND(LEN(INDEX(#REF!,pers_fixed_notes[[#This Row],[Row nr]],1))&gt;0,#REF!&gt;pers_fixed_max_amount),checks!$B$72,"")</f>
        <v>#REF!</v>
      </c>
      <c r="F151" s="111" t="e" cm="1">
        <f t="array" aca="1" ref="F151" ca="1">IF(AND(LEN(INDEX(#REF!,pers_fixed_notes[[#This Row],[Row nr]],1))&gt;0,#REF!&gt;pers_fixed_max_perc*Total_NWO_funding),checks!$B$73,"")</f>
        <v>#REF!</v>
      </c>
      <c r="G151" s="111" t="e">
        <f>IF(AND(organisation_type="yes",_xlfn.SINGLE(INDEX(#REF!,pers_fixed_notes[[#This Row],[Row nr]],1))&lt;&gt;"",ISBLANK(_xlfn.SINGLE(INDEX(#REF!,pers_fixed_notes[[#This Row],[Row nr]],1)))),$B$53,"")</f>
        <v>#REF!</v>
      </c>
      <c r="H151" s="111" t="e">
        <f>IF(AND(organisation_name="yes",_xlfn.SINGLE(INDEX(#REF!,pers_fixed_notes[[#This Row],[Row nr]],1))&lt;&gt;"",ISBLANK(_xlfn.SINGLE(INDEX(#REF!,pers_fixed_notes[[#This Row],[Row nr]],1)))),$B$54,"")</f>
        <v>#REF!</v>
      </c>
    </row>
    <row r="152" spans="1:8" hidden="1" outlineLevel="2" x14ac:dyDescent="0.3">
      <c r="A152" s="268">
        <v>22</v>
      </c>
      <c r="B152" s="111" t="str" cm="1">
        <f t="array" aca="1" ref="B152" ca="1">IFERROR(INDEX(pers_fixed_notes[[#This Row],[Empty lines]:[Name organisation not provided]],1,MATCH(TRUE,LEN(pers_fixed_notes[[#This Row],[Empty lines]:[Name organisation not provided]])&gt;0,0)),"")</f>
        <v/>
      </c>
      <c r="C152" s="111" t="str">
        <f>IFERROR(IF(AND(empty_lines="no",LEN(_xlfn.SINGLE(INDEX(#REF!,pers_fixed_notes[[#This Row],[Row nr]])))=0,LEN(_xlfn.SINGLE(INDEX(#REF!,pers_fixed_notes[[#This Row],[Row nr]]+1)))&gt;0),$B$36,""),"")</f>
        <v/>
      </c>
      <c r="D152" s="111" t="e" cm="1">
        <f t="array" ref="D152">IF(AND(LEN(INDEX(#REF!,pers_fixed_notes[[#This Row],[Row nr]],1))=0,LEN(INDEX(#REF!,pers_fixed_notes[[#This Row],[Row nr]],1))&gt;0),checks!$B$74,"")</f>
        <v>#REF!</v>
      </c>
      <c r="E152" s="111" t="e" cm="1">
        <f t="array" ref="E152">IF(AND(LEN(INDEX(#REF!,pers_fixed_notes[[#This Row],[Row nr]],1))&gt;0,#REF!&gt;pers_fixed_max_amount),checks!$B$72,"")</f>
        <v>#REF!</v>
      </c>
      <c r="F152" s="111" t="e" cm="1">
        <f t="array" aca="1" ref="F152" ca="1">IF(AND(LEN(INDEX(#REF!,pers_fixed_notes[[#This Row],[Row nr]],1))&gt;0,#REF!&gt;pers_fixed_max_perc*Total_NWO_funding),checks!$B$73,"")</f>
        <v>#REF!</v>
      </c>
      <c r="G152" s="111" t="e">
        <f>IF(AND(organisation_type="yes",_xlfn.SINGLE(INDEX(#REF!,pers_fixed_notes[[#This Row],[Row nr]],1))&lt;&gt;"",ISBLANK(_xlfn.SINGLE(INDEX(#REF!,pers_fixed_notes[[#This Row],[Row nr]],1)))),$B$53,"")</f>
        <v>#REF!</v>
      </c>
      <c r="H152" s="111" t="e">
        <f>IF(AND(organisation_name="yes",_xlfn.SINGLE(INDEX(#REF!,pers_fixed_notes[[#This Row],[Row nr]],1))&lt;&gt;"",ISBLANK(_xlfn.SINGLE(INDEX(#REF!,pers_fixed_notes[[#This Row],[Row nr]],1)))),$B$54,"")</f>
        <v>#REF!</v>
      </c>
    </row>
    <row r="153" spans="1:8" hidden="1" outlineLevel="2" x14ac:dyDescent="0.3">
      <c r="A153" s="266">
        <v>23</v>
      </c>
      <c r="B153" s="111" t="str" cm="1">
        <f t="array" aca="1" ref="B153" ca="1">IFERROR(INDEX(pers_fixed_notes[[#This Row],[Empty lines]:[Name organisation not provided]],1,MATCH(TRUE,LEN(pers_fixed_notes[[#This Row],[Empty lines]:[Name organisation not provided]])&gt;0,0)),"")</f>
        <v/>
      </c>
      <c r="C153" s="111" t="str">
        <f>IFERROR(IF(AND(empty_lines="no",LEN(_xlfn.SINGLE(INDEX(#REF!,pers_fixed_notes[[#This Row],[Row nr]])))=0,LEN(_xlfn.SINGLE(INDEX(#REF!,pers_fixed_notes[[#This Row],[Row nr]]+1)))&gt;0),$B$36,""),"")</f>
        <v/>
      </c>
      <c r="D153" s="111" t="e" cm="1">
        <f t="array" ref="D153">IF(AND(LEN(INDEX(#REF!,pers_fixed_notes[[#This Row],[Row nr]],1))=0,LEN(INDEX(#REF!,pers_fixed_notes[[#This Row],[Row nr]],1))&gt;0),checks!$B$74,"")</f>
        <v>#REF!</v>
      </c>
      <c r="E153" s="111" t="e" cm="1">
        <f t="array" ref="E153">IF(AND(LEN(INDEX(#REF!,pers_fixed_notes[[#This Row],[Row nr]],1))&gt;0,#REF!&gt;pers_fixed_max_amount),checks!$B$72,"")</f>
        <v>#REF!</v>
      </c>
      <c r="F153" s="111" t="e" cm="1">
        <f t="array" aca="1" ref="F153" ca="1">IF(AND(LEN(INDEX(#REF!,pers_fixed_notes[[#This Row],[Row nr]],1))&gt;0,#REF!&gt;pers_fixed_max_perc*Total_NWO_funding),checks!$B$73,"")</f>
        <v>#REF!</v>
      </c>
      <c r="G153" s="111" t="e">
        <f>IF(AND(organisation_type="yes",_xlfn.SINGLE(INDEX(#REF!,pers_fixed_notes[[#This Row],[Row nr]],1))&lt;&gt;"",ISBLANK(_xlfn.SINGLE(INDEX(#REF!,pers_fixed_notes[[#This Row],[Row nr]],1)))),$B$53,"")</f>
        <v>#REF!</v>
      </c>
      <c r="H153" s="111" t="e">
        <f>IF(AND(organisation_name="yes",_xlfn.SINGLE(INDEX(#REF!,pers_fixed_notes[[#This Row],[Row nr]],1))&lt;&gt;"",ISBLANK(_xlfn.SINGLE(INDEX(#REF!,pers_fixed_notes[[#This Row],[Row nr]],1)))),$B$54,"")</f>
        <v>#REF!</v>
      </c>
    </row>
    <row r="154" spans="1:8" hidden="1" outlineLevel="2" x14ac:dyDescent="0.3">
      <c r="A154" s="268">
        <v>24</v>
      </c>
      <c r="B154" s="111" t="str" cm="1">
        <f t="array" aca="1" ref="B154" ca="1">IFERROR(INDEX(pers_fixed_notes[[#This Row],[Empty lines]:[Name organisation not provided]],1,MATCH(TRUE,LEN(pers_fixed_notes[[#This Row],[Empty lines]:[Name organisation not provided]])&gt;0,0)),"")</f>
        <v/>
      </c>
      <c r="C154" s="111" t="str">
        <f>IFERROR(IF(AND(empty_lines="no",LEN(_xlfn.SINGLE(INDEX(#REF!,pers_fixed_notes[[#This Row],[Row nr]])))=0,LEN(_xlfn.SINGLE(INDEX(#REF!,pers_fixed_notes[[#This Row],[Row nr]]+1)))&gt;0),$B$36,""),"")</f>
        <v/>
      </c>
      <c r="D154" s="111" t="e" cm="1">
        <f t="array" ref="D154">IF(AND(LEN(INDEX(#REF!,pers_fixed_notes[[#This Row],[Row nr]],1))=0,LEN(INDEX(#REF!,pers_fixed_notes[[#This Row],[Row nr]],1))&gt;0),checks!$B$74,"")</f>
        <v>#REF!</v>
      </c>
      <c r="E154" s="111" t="e" cm="1">
        <f t="array" ref="E154">IF(AND(LEN(INDEX(#REF!,pers_fixed_notes[[#This Row],[Row nr]],1))&gt;0,#REF!&gt;pers_fixed_max_amount),checks!$B$72,"")</f>
        <v>#REF!</v>
      </c>
      <c r="F154" s="111" t="e" cm="1">
        <f t="array" aca="1" ref="F154" ca="1">IF(AND(LEN(INDEX(#REF!,pers_fixed_notes[[#This Row],[Row nr]],1))&gt;0,#REF!&gt;pers_fixed_max_perc*Total_NWO_funding),checks!$B$73,"")</f>
        <v>#REF!</v>
      </c>
      <c r="G154" s="111" t="e">
        <f>IF(AND(organisation_type="yes",_xlfn.SINGLE(INDEX(#REF!,pers_fixed_notes[[#This Row],[Row nr]],1))&lt;&gt;"",ISBLANK(_xlfn.SINGLE(INDEX(#REF!,pers_fixed_notes[[#This Row],[Row nr]],1)))),$B$53,"")</f>
        <v>#REF!</v>
      </c>
      <c r="H154" s="111" t="e">
        <f>IF(AND(organisation_name="yes",_xlfn.SINGLE(INDEX(#REF!,pers_fixed_notes[[#This Row],[Row nr]],1))&lt;&gt;"",ISBLANK(_xlfn.SINGLE(INDEX(#REF!,pers_fixed_notes[[#This Row],[Row nr]],1)))),$B$54,"")</f>
        <v>#REF!</v>
      </c>
    </row>
    <row r="155" spans="1:8" hidden="1" outlineLevel="2" x14ac:dyDescent="0.3">
      <c r="A155" s="266">
        <v>25</v>
      </c>
      <c r="B155" s="111" t="str" cm="1">
        <f t="array" aca="1" ref="B155" ca="1">IFERROR(INDEX(pers_fixed_notes[[#This Row],[Empty lines]:[Name organisation not provided]],1,MATCH(TRUE,LEN(pers_fixed_notes[[#This Row],[Empty lines]:[Name organisation not provided]])&gt;0,0)),"")</f>
        <v/>
      </c>
      <c r="C155" s="111" t="str">
        <f>IFERROR(IF(AND(empty_lines="no",LEN(_xlfn.SINGLE(INDEX(#REF!,pers_fixed_notes[[#This Row],[Row nr]])))=0,LEN(_xlfn.SINGLE(INDEX(#REF!,pers_fixed_notes[[#This Row],[Row nr]]+1)))&gt;0),$B$36,""),"")</f>
        <v/>
      </c>
      <c r="D155" s="111" t="e" cm="1">
        <f t="array" ref="D155">IF(AND(LEN(INDEX(#REF!,pers_fixed_notes[[#This Row],[Row nr]],1))=0,LEN(INDEX(#REF!,pers_fixed_notes[[#This Row],[Row nr]],1))&gt;0),checks!$B$74,"")</f>
        <v>#REF!</v>
      </c>
      <c r="E155" s="111" t="e" cm="1">
        <f t="array" ref="E155">IF(AND(LEN(INDEX(#REF!,pers_fixed_notes[[#This Row],[Row nr]],1))&gt;0,#REF!&gt;pers_fixed_max_amount),checks!$B$72,"")</f>
        <v>#REF!</v>
      </c>
      <c r="F155" s="111" t="e" cm="1">
        <f t="array" aca="1" ref="F155" ca="1">IF(AND(LEN(INDEX(#REF!,pers_fixed_notes[[#This Row],[Row nr]],1))&gt;0,#REF!&gt;pers_fixed_max_perc*Total_NWO_funding),checks!$B$73,"")</f>
        <v>#REF!</v>
      </c>
      <c r="G155" s="111" t="e">
        <f>IF(AND(organisation_type="yes",_xlfn.SINGLE(INDEX(#REF!,pers_fixed_notes[[#This Row],[Row nr]],1))&lt;&gt;"",ISBLANK(_xlfn.SINGLE(INDEX(#REF!,pers_fixed_notes[[#This Row],[Row nr]],1)))),$B$53,"")</f>
        <v>#REF!</v>
      </c>
      <c r="H155" s="111" t="e">
        <f>IF(AND(organisation_name="yes",_xlfn.SINGLE(INDEX(#REF!,pers_fixed_notes[[#This Row],[Row nr]],1))&lt;&gt;"",ISBLANK(_xlfn.SINGLE(INDEX(#REF!,pers_fixed_notes[[#This Row],[Row nr]],1)))),$B$54,"")</f>
        <v>#REF!</v>
      </c>
    </row>
    <row r="156" spans="1:8" hidden="1" outlineLevel="2" x14ac:dyDescent="0.3">
      <c r="A156" s="268">
        <v>26</v>
      </c>
      <c r="B156" s="111" t="str" cm="1">
        <f t="array" aca="1" ref="B156" ca="1">IFERROR(INDEX(pers_fixed_notes[[#This Row],[Empty lines]:[Name organisation not provided]],1,MATCH(TRUE,LEN(pers_fixed_notes[[#This Row],[Empty lines]:[Name organisation not provided]])&gt;0,0)),"")</f>
        <v/>
      </c>
      <c r="C156" s="111" t="str">
        <f>IFERROR(IF(AND(empty_lines="no",LEN(_xlfn.SINGLE(INDEX(#REF!,pers_fixed_notes[[#This Row],[Row nr]])))=0,LEN(_xlfn.SINGLE(INDEX(#REF!,pers_fixed_notes[[#This Row],[Row nr]]+1)))&gt;0),$B$36,""),"")</f>
        <v/>
      </c>
      <c r="D156" s="111" t="e" cm="1">
        <f t="array" ref="D156">IF(AND(LEN(INDEX(#REF!,pers_fixed_notes[[#This Row],[Row nr]],1))=0,LEN(INDEX(#REF!,pers_fixed_notes[[#This Row],[Row nr]],1))&gt;0),checks!$B$74,"")</f>
        <v>#REF!</v>
      </c>
      <c r="E156" s="111" t="e" cm="1">
        <f t="array" ref="E156">IF(AND(LEN(INDEX(#REF!,pers_fixed_notes[[#This Row],[Row nr]],1))&gt;0,#REF!&gt;pers_fixed_max_amount),checks!$B$72,"")</f>
        <v>#REF!</v>
      </c>
      <c r="F156" s="111" t="e" cm="1">
        <f t="array" aca="1" ref="F156" ca="1">IF(AND(LEN(INDEX(#REF!,pers_fixed_notes[[#This Row],[Row nr]],1))&gt;0,#REF!&gt;pers_fixed_max_perc*Total_NWO_funding),checks!$B$73,"")</f>
        <v>#REF!</v>
      </c>
      <c r="G156" s="111" t="e">
        <f>IF(AND(organisation_type="yes",_xlfn.SINGLE(INDEX(#REF!,pers_fixed_notes[[#This Row],[Row nr]],1))&lt;&gt;"",ISBLANK(_xlfn.SINGLE(INDEX(#REF!,pers_fixed_notes[[#This Row],[Row nr]],1)))),$B$53,"")</f>
        <v>#REF!</v>
      </c>
      <c r="H156" s="111" t="e">
        <f>IF(AND(organisation_name="yes",_xlfn.SINGLE(INDEX(#REF!,pers_fixed_notes[[#This Row],[Row nr]],1))&lt;&gt;"",ISBLANK(_xlfn.SINGLE(INDEX(#REF!,pers_fixed_notes[[#This Row],[Row nr]],1)))),$B$54,"")</f>
        <v>#REF!</v>
      </c>
    </row>
    <row r="157" spans="1:8" hidden="1" outlineLevel="2" x14ac:dyDescent="0.3">
      <c r="A157" s="266">
        <v>27</v>
      </c>
      <c r="B157" s="111" t="str" cm="1">
        <f t="array" aca="1" ref="B157" ca="1">IFERROR(INDEX(pers_fixed_notes[[#This Row],[Empty lines]:[Name organisation not provided]],1,MATCH(TRUE,LEN(pers_fixed_notes[[#This Row],[Empty lines]:[Name organisation not provided]])&gt;0,0)),"")</f>
        <v/>
      </c>
      <c r="C157" s="111" t="str">
        <f>IFERROR(IF(AND(empty_lines="no",LEN(_xlfn.SINGLE(INDEX(#REF!,pers_fixed_notes[[#This Row],[Row nr]])))=0,LEN(_xlfn.SINGLE(INDEX(#REF!,pers_fixed_notes[[#This Row],[Row nr]]+1)))&gt;0),$B$36,""),"")</f>
        <v/>
      </c>
      <c r="D157" s="111" t="e" cm="1">
        <f t="array" ref="D157">IF(AND(LEN(INDEX(#REF!,pers_fixed_notes[[#This Row],[Row nr]],1))=0,LEN(INDEX(#REF!,pers_fixed_notes[[#This Row],[Row nr]],1))&gt;0),checks!$B$74,"")</f>
        <v>#REF!</v>
      </c>
      <c r="E157" s="111" t="e" cm="1">
        <f t="array" ref="E157">IF(AND(LEN(INDEX(#REF!,pers_fixed_notes[[#This Row],[Row nr]],1))&gt;0,#REF!&gt;pers_fixed_max_amount),checks!$B$72,"")</f>
        <v>#REF!</v>
      </c>
      <c r="F157" s="111" t="e" cm="1">
        <f t="array" aca="1" ref="F157" ca="1">IF(AND(LEN(INDEX(#REF!,pers_fixed_notes[[#This Row],[Row nr]],1))&gt;0,#REF!&gt;pers_fixed_max_perc*Total_NWO_funding),checks!$B$73,"")</f>
        <v>#REF!</v>
      </c>
      <c r="G157" s="111" t="e">
        <f>IF(AND(organisation_type="yes",_xlfn.SINGLE(INDEX(#REF!,pers_fixed_notes[[#This Row],[Row nr]],1))&lt;&gt;"",ISBLANK(_xlfn.SINGLE(INDEX(#REF!,pers_fixed_notes[[#This Row],[Row nr]],1)))),$B$53,"")</f>
        <v>#REF!</v>
      </c>
      <c r="H157" s="111" t="e">
        <f>IF(AND(organisation_name="yes",_xlfn.SINGLE(INDEX(#REF!,pers_fixed_notes[[#This Row],[Row nr]],1))&lt;&gt;"",ISBLANK(_xlfn.SINGLE(INDEX(#REF!,pers_fixed_notes[[#This Row],[Row nr]],1)))),$B$54,"")</f>
        <v>#REF!</v>
      </c>
    </row>
    <row r="158" spans="1:8" hidden="1" outlineLevel="2" x14ac:dyDescent="0.3">
      <c r="A158" s="268">
        <v>28</v>
      </c>
      <c r="B158" s="111" t="str" cm="1">
        <f t="array" aca="1" ref="B158" ca="1">IFERROR(INDEX(pers_fixed_notes[[#This Row],[Empty lines]:[Name organisation not provided]],1,MATCH(TRUE,LEN(pers_fixed_notes[[#This Row],[Empty lines]:[Name organisation not provided]])&gt;0,0)),"")</f>
        <v/>
      </c>
      <c r="C158" s="111" t="str">
        <f>IFERROR(IF(AND(empty_lines="no",LEN(_xlfn.SINGLE(INDEX(#REF!,pers_fixed_notes[[#This Row],[Row nr]])))=0,LEN(_xlfn.SINGLE(INDEX(#REF!,pers_fixed_notes[[#This Row],[Row nr]]+1)))&gt;0),$B$36,""),"")</f>
        <v/>
      </c>
      <c r="D158" s="111" t="e" cm="1">
        <f t="array" ref="D158">IF(AND(LEN(INDEX(#REF!,pers_fixed_notes[[#This Row],[Row nr]],1))=0,LEN(INDEX(#REF!,pers_fixed_notes[[#This Row],[Row nr]],1))&gt;0),checks!$B$74,"")</f>
        <v>#REF!</v>
      </c>
      <c r="E158" s="111" t="e" cm="1">
        <f t="array" ref="E158">IF(AND(LEN(INDEX(#REF!,pers_fixed_notes[[#This Row],[Row nr]],1))&gt;0,#REF!&gt;pers_fixed_max_amount),checks!$B$72,"")</f>
        <v>#REF!</v>
      </c>
      <c r="F158" s="111" t="e" cm="1">
        <f t="array" aca="1" ref="F158" ca="1">IF(AND(LEN(INDEX(#REF!,pers_fixed_notes[[#This Row],[Row nr]],1))&gt;0,#REF!&gt;pers_fixed_max_perc*Total_NWO_funding),checks!$B$73,"")</f>
        <v>#REF!</v>
      </c>
      <c r="G158" s="111" t="e">
        <f>IF(AND(organisation_type="yes",_xlfn.SINGLE(INDEX(#REF!,pers_fixed_notes[[#This Row],[Row nr]],1))&lt;&gt;"",ISBLANK(_xlfn.SINGLE(INDEX(#REF!,pers_fixed_notes[[#This Row],[Row nr]],1)))),$B$53,"")</f>
        <v>#REF!</v>
      </c>
      <c r="H158" s="111" t="e">
        <f>IF(AND(organisation_name="yes",_xlfn.SINGLE(INDEX(#REF!,pers_fixed_notes[[#This Row],[Row nr]],1))&lt;&gt;"",ISBLANK(_xlfn.SINGLE(INDEX(#REF!,pers_fixed_notes[[#This Row],[Row nr]],1)))),$B$54,"")</f>
        <v>#REF!</v>
      </c>
    </row>
    <row r="159" spans="1:8" hidden="1" outlineLevel="2" x14ac:dyDescent="0.3">
      <c r="A159" s="266">
        <v>29</v>
      </c>
      <c r="B159" s="111" t="str" cm="1">
        <f t="array" aca="1" ref="B159" ca="1">IFERROR(INDEX(pers_fixed_notes[[#This Row],[Empty lines]:[Name organisation not provided]],1,MATCH(TRUE,LEN(pers_fixed_notes[[#This Row],[Empty lines]:[Name organisation not provided]])&gt;0,0)),"")</f>
        <v/>
      </c>
      <c r="C159" s="111" t="str">
        <f>IFERROR(IF(AND(empty_lines="no",LEN(_xlfn.SINGLE(INDEX(#REF!,pers_fixed_notes[[#This Row],[Row nr]])))=0,LEN(_xlfn.SINGLE(INDEX(#REF!,pers_fixed_notes[[#This Row],[Row nr]]+1)))&gt;0),$B$36,""),"")</f>
        <v/>
      </c>
      <c r="D159" s="111" t="e" cm="1">
        <f t="array" ref="D159">IF(AND(LEN(INDEX(#REF!,pers_fixed_notes[[#This Row],[Row nr]],1))=0,LEN(INDEX(#REF!,pers_fixed_notes[[#This Row],[Row nr]],1))&gt;0),checks!$B$74,"")</f>
        <v>#REF!</v>
      </c>
      <c r="E159" s="111" t="e" cm="1">
        <f t="array" ref="E159">IF(AND(LEN(INDEX(#REF!,pers_fixed_notes[[#This Row],[Row nr]],1))&gt;0,#REF!&gt;pers_fixed_max_amount),checks!$B$72,"")</f>
        <v>#REF!</v>
      </c>
      <c r="F159" s="111" t="e" cm="1">
        <f t="array" aca="1" ref="F159" ca="1">IF(AND(LEN(INDEX(#REF!,pers_fixed_notes[[#This Row],[Row nr]],1))&gt;0,#REF!&gt;pers_fixed_max_perc*Total_NWO_funding),checks!$B$73,"")</f>
        <v>#REF!</v>
      </c>
      <c r="G159" s="111" t="e">
        <f>IF(AND(organisation_type="yes",_xlfn.SINGLE(INDEX(#REF!,pers_fixed_notes[[#This Row],[Row nr]],1))&lt;&gt;"",ISBLANK(_xlfn.SINGLE(INDEX(#REF!,pers_fixed_notes[[#This Row],[Row nr]],1)))),$B$53,"")</f>
        <v>#REF!</v>
      </c>
      <c r="H159" s="111" t="e">
        <f>IF(AND(organisation_name="yes",_xlfn.SINGLE(INDEX(#REF!,pers_fixed_notes[[#This Row],[Row nr]],1))&lt;&gt;"",ISBLANK(_xlfn.SINGLE(INDEX(#REF!,pers_fixed_notes[[#This Row],[Row nr]],1)))),$B$54,"")</f>
        <v>#REF!</v>
      </c>
    </row>
    <row r="160" spans="1:8" hidden="1" outlineLevel="2" x14ac:dyDescent="0.3">
      <c r="A160" s="268">
        <v>30</v>
      </c>
      <c r="B160" s="111" t="str" cm="1">
        <f t="array" aca="1" ref="B160" ca="1">IFERROR(INDEX(pers_fixed_notes[[#This Row],[Empty lines]:[Name organisation not provided]],1,MATCH(TRUE,LEN(pers_fixed_notes[[#This Row],[Empty lines]:[Name organisation not provided]])&gt;0,0)),"")</f>
        <v/>
      </c>
      <c r="C160" s="111" t="str">
        <f>IFERROR(IF(AND(empty_lines="no",LEN(_xlfn.SINGLE(INDEX(#REF!,pers_fixed_notes[[#This Row],[Row nr]])))=0,LEN(_xlfn.SINGLE(INDEX(#REF!,pers_fixed_notes[[#This Row],[Row nr]]+1)))&gt;0),$B$36,""),"")</f>
        <v/>
      </c>
      <c r="D160" s="111" t="e" cm="1">
        <f t="array" ref="D160">IF(AND(LEN(INDEX(#REF!,pers_fixed_notes[[#This Row],[Row nr]],1))=0,LEN(INDEX(#REF!,pers_fixed_notes[[#This Row],[Row nr]],1))&gt;0),checks!$B$74,"")</f>
        <v>#REF!</v>
      </c>
      <c r="E160" s="111" t="e" cm="1">
        <f t="array" ref="E160">IF(AND(LEN(INDEX(#REF!,pers_fixed_notes[[#This Row],[Row nr]],1))&gt;0,#REF!&gt;pers_fixed_max_amount),checks!$B$72,"")</f>
        <v>#REF!</v>
      </c>
      <c r="F160" s="111" t="e" cm="1">
        <f t="array" aca="1" ref="F160" ca="1">IF(AND(LEN(INDEX(#REF!,pers_fixed_notes[[#This Row],[Row nr]],1))&gt;0,#REF!&gt;pers_fixed_max_perc*Total_NWO_funding),checks!$B$73,"")</f>
        <v>#REF!</v>
      </c>
      <c r="G160" s="111" t="e">
        <f>IF(AND(organisation_type="yes",_xlfn.SINGLE(INDEX(#REF!,pers_fixed_notes[[#This Row],[Row nr]],1))&lt;&gt;"",ISBLANK(_xlfn.SINGLE(INDEX(#REF!,pers_fixed_notes[[#This Row],[Row nr]],1)))),$B$53,"")</f>
        <v>#REF!</v>
      </c>
      <c r="H160" s="111" t="e">
        <f>IF(AND(organisation_name="yes",_xlfn.SINGLE(INDEX(#REF!,pers_fixed_notes[[#This Row],[Row nr]],1))&lt;&gt;"",ISBLANK(_xlfn.SINGLE(INDEX(#REF!,pers_fixed_notes[[#This Row],[Row nr]],1)))),$B$54,"")</f>
        <v>#REF!</v>
      </c>
    </row>
    <row r="161" spans="1:8" hidden="1" outlineLevel="2" x14ac:dyDescent="0.3">
      <c r="A161" s="266">
        <v>31</v>
      </c>
      <c r="B161" s="111" t="str" cm="1">
        <f t="array" aca="1" ref="B161" ca="1">IFERROR(INDEX(pers_fixed_notes[[#This Row],[Empty lines]:[Name organisation not provided]],1,MATCH(TRUE,LEN(pers_fixed_notes[[#This Row],[Empty lines]:[Name organisation not provided]])&gt;0,0)),"")</f>
        <v/>
      </c>
      <c r="C161" s="111" t="str">
        <f>IFERROR(IF(AND(empty_lines="no",LEN(_xlfn.SINGLE(INDEX(#REF!,pers_fixed_notes[[#This Row],[Row nr]])))=0,LEN(_xlfn.SINGLE(INDEX(#REF!,pers_fixed_notes[[#This Row],[Row nr]]+1)))&gt;0),$B$36,""),"")</f>
        <v/>
      </c>
      <c r="D161" s="111" t="e" cm="1">
        <f t="array" ref="D161">IF(AND(LEN(INDEX(#REF!,pers_fixed_notes[[#This Row],[Row nr]],1))=0,LEN(INDEX(#REF!,pers_fixed_notes[[#This Row],[Row nr]],1))&gt;0),checks!$B$74,"")</f>
        <v>#REF!</v>
      </c>
      <c r="E161" s="111" t="e" cm="1">
        <f t="array" ref="E161">IF(AND(LEN(INDEX(#REF!,pers_fixed_notes[[#This Row],[Row nr]],1))&gt;0,#REF!&gt;pers_fixed_max_amount),checks!$B$72,"")</f>
        <v>#REF!</v>
      </c>
      <c r="F161" s="111" t="e" cm="1">
        <f t="array" aca="1" ref="F161" ca="1">IF(AND(LEN(INDEX(#REF!,pers_fixed_notes[[#This Row],[Row nr]],1))&gt;0,#REF!&gt;pers_fixed_max_perc*Total_NWO_funding),checks!$B$73,"")</f>
        <v>#REF!</v>
      </c>
      <c r="G161" s="111" t="e">
        <f>IF(AND(organisation_type="yes",_xlfn.SINGLE(INDEX(#REF!,pers_fixed_notes[[#This Row],[Row nr]],1))&lt;&gt;"",ISBLANK(_xlfn.SINGLE(INDEX(#REF!,pers_fixed_notes[[#This Row],[Row nr]],1)))),$B$53,"")</f>
        <v>#REF!</v>
      </c>
      <c r="H161" s="111" t="e">
        <f>IF(AND(organisation_name="yes",_xlfn.SINGLE(INDEX(#REF!,pers_fixed_notes[[#This Row],[Row nr]],1))&lt;&gt;"",ISBLANK(_xlfn.SINGLE(INDEX(#REF!,pers_fixed_notes[[#This Row],[Row nr]],1)))),$B$54,"")</f>
        <v>#REF!</v>
      </c>
    </row>
    <row r="162" spans="1:8" hidden="1" outlineLevel="2" x14ac:dyDescent="0.3">
      <c r="A162" s="268">
        <v>32</v>
      </c>
      <c r="B162" s="111" t="str" cm="1">
        <f t="array" aca="1" ref="B162" ca="1">IFERROR(INDEX(pers_fixed_notes[[#This Row],[Empty lines]:[Name organisation not provided]],1,MATCH(TRUE,LEN(pers_fixed_notes[[#This Row],[Empty lines]:[Name organisation not provided]])&gt;0,0)),"")</f>
        <v/>
      </c>
      <c r="C162" s="111" t="str">
        <f>IFERROR(IF(AND(empty_lines="no",LEN(_xlfn.SINGLE(INDEX(#REF!,pers_fixed_notes[[#This Row],[Row nr]])))=0,LEN(_xlfn.SINGLE(INDEX(#REF!,pers_fixed_notes[[#This Row],[Row nr]]+1)))&gt;0),$B$36,""),"")</f>
        <v/>
      </c>
      <c r="D162" s="111" t="e" cm="1">
        <f t="array" ref="D162">IF(AND(LEN(INDEX(#REF!,pers_fixed_notes[[#This Row],[Row nr]],1))=0,LEN(INDEX(#REF!,pers_fixed_notes[[#This Row],[Row nr]],1))&gt;0),checks!$B$74,"")</f>
        <v>#REF!</v>
      </c>
      <c r="E162" s="111" t="e" cm="1">
        <f t="array" ref="E162">IF(AND(LEN(INDEX(#REF!,pers_fixed_notes[[#This Row],[Row nr]],1))&gt;0,#REF!&gt;pers_fixed_max_amount),checks!$B$72,"")</f>
        <v>#REF!</v>
      </c>
      <c r="F162" s="111" t="e" cm="1">
        <f t="array" aca="1" ref="F162" ca="1">IF(AND(LEN(INDEX(#REF!,pers_fixed_notes[[#This Row],[Row nr]],1))&gt;0,#REF!&gt;pers_fixed_max_perc*Total_NWO_funding),checks!$B$73,"")</f>
        <v>#REF!</v>
      </c>
      <c r="G162" s="111" t="e">
        <f>IF(AND(organisation_type="yes",_xlfn.SINGLE(INDEX(#REF!,pers_fixed_notes[[#This Row],[Row nr]],1))&lt;&gt;"",ISBLANK(_xlfn.SINGLE(INDEX(#REF!,pers_fixed_notes[[#This Row],[Row nr]],1)))),$B$53,"")</f>
        <v>#REF!</v>
      </c>
      <c r="H162" s="111" t="e">
        <f>IF(AND(organisation_name="yes",_xlfn.SINGLE(INDEX(#REF!,pers_fixed_notes[[#This Row],[Row nr]],1))&lt;&gt;"",ISBLANK(_xlfn.SINGLE(INDEX(#REF!,pers_fixed_notes[[#This Row],[Row nr]],1)))),$B$54,"")</f>
        <v>#REF!</v>
      </c>
    </row>
    <row r="163" spans="1:8" hidden="1" outlineLevel="2" x14ac:dyDescent="0.3">
      <c r="A163" s="266">
        <v>33</v>
      </c>
      <c r="B163" s="111" t="str" cm="1">
        <f t="array" aca="1" ref="B163" ca="1">IFERROR(INDEX(pers_fixed_notes[[#This Row],[Empty lines]:[Name organisation not provided]],1,MATCH(TRUE,LEN(pers_fixed_notes[[#This Row],[Empty lines]:[Name organisation not provided]])&gt;0,0)),"")</f>
        <v/>
      </c>
      <c r="C163" s="111" t="str">
        <f>IFERROR(IF(AND(empty_lines="no",LEN(_xlfn.SINGLE(INDEX(#REF!,pers_fixed_notes[[#This Row],[Row nr]])))=0,LEN(_xlfn.SINGLE(INDEX(#REF!,pers_fixed_notes[[#This Row],[Row nr]]+1)))&gt;0),$B$36,""),"")</f>
        <v/>
      </c>
      <c r="D163" s="111" t="e" cm="1">
        <f t="array" ref="D163">IF(AND(LEN(INDEX(#REF!,pers_fixed_notes[[#This Row],[Row nr]],1))=0,LEN(INDEX(#REF!,pers_fixed_notes[[#This Row],[Row nr]],1))&gt;0),checks!$B$74,"")</f>
        <v>#REF!</v>
      </c>
      <c r="E163" s="111" t="e" cm="1">
        <f t="array" ref="E163">IF(AND(LEN(INDEX(#REF!,pers_fixed_notes[[#This Row],[Row nr]],1))&gt;0,#REF!&gt;pers_fixed_max_amount),checks!$B$72,"")</f>
        <v>#REF!</v>
      </c>
      <c r="F163" s="111" t="e" cm="1">
        <f t="array" aca="1" ref="F163" ca="1">IF(AND(LEN(INDEX(#REF!,pers_fixed_notes[[#This Row],[Row nr]],1))&gt;0,#REF!&gt;pers_fixed_max_perc*Total_NWO_funding),checks!$B$73,"")</f>
        <v>#REF!</v>
      </c>
      <c r="G163" s="111" t="e">
        <f>IF(AND(organisation_type="yes",_xlfn.SINGLE(INDEX(#REF!,pers_fixed_notes[[#This Row],[Row nr]],1))&lt;&gt;"",ISBLANK(_xlfn.SINGLE(INDEX(#REF!,pers_fixed_notes[[#This Row],[Row nr]],1)))),$B$53,"")</f>
        <v>#REF!</v>
      </c>
      <c r="H163" s="111" t="e">
        <f>IF(AND(organisation_name="yes",_xlfn.SINGLE(INDEX(#REF!,pers_fixed_notes[[#This Row],[Row nr]],1))&lt;&gt;"",ISBLANK(_xlfn.SINGLE(INDEX(#REF!,pers_fixed_notes[[#This Row],[Row nr]],1)))),$B$54,"")</f>
        <v>#REF!</v>
      </c>
    </row>
    <row r="164" spans="1:8" hidden="1" outlineLevel="2" x14ac:dyDescent="0.3">
      <c r="A164" s="268">
        <v>34</v>
      </c>
      <c r="B164" s="111" t="str" cm="1">
        <f t="array" aca="1" ref="B164" ca="1">IFERROR(INDEX(pers_fixed_notes[[#This Row],[Empty lines]:[Name organisation not provided]],1,MATCH(TRUE,LEN(pers_fixed_notes[[#This Row],[Empty lines]:[Name organisation not provided]])&gt;0,0)),"")</f>
        <v/>
      </c>
      <c r="C164" s="111" t="str">
        <f>IFERROR(IF(AND(empty_lines="no",LEN(_xlfn.SINGLE(INDEX(#REF!,pers_fixed_notes[[#This Row],[Row nr]])))=0,LEN(_xlfn.SINGLE(INDEX(#REF!,pers_fixed_notes[[#This Row],[Row nr]]+1)))&gt;0),$B$36,""),"")</f>
        <v/>
      </c>
      <c r="D164" s="111" t="e" cm="1">
        <f t="array" ref="D164">IF(AND(LEN(INDEX(#REF!,pers_fixed_notes[[#This Row],[Row nr]],1))=0,LEN(INDEX(#REF!,pers_fixed_notes[[#This Row],[Row nr]],1))&gt;0),checks!$B$74,"")</f>
        <v>#REF!</v>
      </c>
      <c r="E164" s="111" t="e" cm="1">
        <f t="array" ref="E164">IF(AND(LEN(INDEX(#REF!,pers_fixed_notes[[#This Row],[Row nr]],1))&gt;0,#REF!&gt;pers_fixed_max_amount),checks!$B$72,"")</f>
        <v>#REF!</v>
      </c>
      <c r="F164" s="111" t="e" cm="1">
        <f t="array" aca="1" ref="F164" ca="1">IF(AND(LEN(INDEX(#REF!,pers_fixed_notes[[#This Row],[Row nr]],1))&gt;0,#REF!&gt;pers_fixed_max_perc*Total_NWO_funding),checks!$B$73,"")</f>
        <v>#REF!</v>
      </c>
      <c r="G164" s="111" t="e">
        <f>IF(AND(organisation_type="yes",_xlfn.SINGLE(INDEX(#REF!,pers_fixed_notes[[#This Row],[Row nr]],1))&lt;&gt;"",ISBLANK(_xlfn.SINGLE(INDEX(#REF!,pers_fixed_notes[[#This Row],[Row nr]],1)))),$B$53,"")</f>
        <v>#REF!</v>
      </c>
      <c r="H164" s="111" t="e">
        <f>IF(AND(organisation_name="yes",_xlfn.SINGLE(INDEX(#REF!,pers_fixed_notes[[#This Row],[Row nr]],1))&lt;&gt;"",ISBLANK(_xlfn.SINGLE(INDEX(#REF!,pers_fixed_notes[[#This Row],[Row nr]],1)))),$B$54,"")</f>
        <v>#REF!</v>
      </c>
    </row>
    <row r="165" spans="1:8" hidden="1" outlineLevel="2" x14ac:dyDescent="0.3">
      <c r="A165" s="266">
        <v>35</v>
      </c>
      <c r="B165" s="111" t="str" cm="1">
        <f t="array" aca="1" ref="B165" ca="1">IFERROR(INDEX(pers_fixed_notes[[#This Row],[Empty lines]:[Name organisation not provided]],1,MATCH(TRUE,LEN(pers_fixed_notes[[#This Row],[Empty lines]:[Name organisation not provided]])&gt;0,0)),"")</f>
        <v/>
      </c>
      <c r="C165" s="111" t="str">
        <f>IFERROR(IF(AND(empty_lines="no",LEN(_xlfn.SINGLE(INDEX(#REF!,pers_fixed_notes[[#This Row],[Row nr]])))=0,LEN(_xlfn.SINGLE(INDEX(#REF!,pers_fixed_notes[[#This Row],[Row nr]]+1)))&gt;0),$B$36,""),"")</f>
        <v/>
      </c>
      <c r="D165" s="111" t="e" cm="1">
        <f t="array" ref="D165">IF(AND(LEN(INDEX(#REF!,pers_fixed_notes[[#This Row],[Row nr]],1))=0,LEN(INDEX(#REF!,pers_fixed_notes[[#This Row],[Row nr]],1))&gt;0),checks!$B$74,"")</f>
        <v>#REF!</v>
      </c>
      <c r="E165" s="111" t="e" cm="1">
        <f t="array" ref="E165">IF(AND(LEN(INDEX(#REF!,pers_fixed_notes[[#This Row],[Row nr]],1))&gt;0,#REF!&gt;pers_fixed_max_amount),checks!$B$72,"")</f>
        <v>#REF!</v>
      </c>
      <c r="F165" s="111" t="e" cm="1">
        <f t="array" aca="1" ref="F165" ca="1">IF(AND(LEN(INDEX(#REF!,pers_fixed_notes[[#This Row],[Row nr]],1))&gt;0,#REF!&gt;pers_fixed_max_perc*Total_NWO_funding),checks!$B$73,"")</f>
        <v>#REF!</v>
      </c>
      <c r="G165" s="111" t="e">
        <f>IF(AND(organisation_type="yes",_xlfn.SINGLE(INDEX(#REF!,pers_fixed_notes[[#This Row],[Row nr]],1))&lt;&gt;"",ISBLANK(_xlfn.SINGLE(INDEX(#REF!,pers_fixed_notes[[#This Row],[Row nr]],1)))),$B$53,"")</f>
        <v>#REF!</v>
      </c>
      <c r="H165" s="111" t="e">
        <f>IF(AND(organisation_name="yes",_xlfn.SINGLE(INDEX(#REF!,pers_fixed_notes[[#This Row],[Row nr]],1))&lt;&gt;"",ISBLANK(_xlfn.SINGLE(INDEX(#REF!,pers_fixed_notes[[#This Row],[Row nr]],1)))),$B$54,"")</f>
        <v>#REF!</v>
      </c>
    </row>
    <row r="166" spans="1:8" hidden="1" outlineLevel="2" x14ac:dyDescent="0.3">
      <c r="A166" s="268">
        <v>36</v>
      </c>
      <c r="B166" s="111" t="str" cm="1">
        <f t="array" aca="1" ref="B166" ca="1">IFERROR(INDEX(pers_fixed_notes[[#This Row],[Empty lines]:[Name organisation not provided]],1,MATCH(TRUE,LEN(pers_fixed_notes[[#This Row],[Empty lines]:[Name organisation not provided]])&gt;0,0)),"")</f>
        <v/>
      </c>
      <c r="C166" s="111" t="str">
        <f>IFERROR(IF(AND(empty_lines="no",LEN(_xlfn.SINGLE(INDEX(#REF!,pers_fixed_notes[[#This Row],[Row nr]])))=0,LEN(_xlfn.SINGLE(INDEX(#REF!,pers_fixed_notes[[#This Row],[Row nr]]+1)))&gt;0),$B$36,""),"")</f>
        <v/>
      </c>
      <c r="D166" s="111" t="e" cm="1">
        <f t="array" ref="D166">IF(AND(LEN(INDEX(#REF!,pers_fixed_notes[[#This Row],[Row nr]],1))=0,LEN(INDEX(#REF!,pers_fixed_notes[[#This Row],[Row nr]],1))&gt;0),checks!$B$74,"")</f>
        <v>#REF!</v>
      </c>
      <c r="E166" s="111" t="e" cm="1">
        <f t="array" ref="E166">IF(AND(LEN(INDEX(#REF!,pers_fixed_notes[[#This Row],[Row nr]],1))&gt;0,#REF!&gt;pers_fixed_max_amount),checks!$B$72,"")</f>
        <v>#REF!</v>
      </c>
      <c r="F166" s="111" t="e" cm="1">
        <f t="array" aca="1" ref="F166" ca="1">IF(AND(LEN(INDEX(#REF!,pers_fixed_notes[[#This Row],[Row nr]],1))&gt;0,#REF!&gt;pers_fixed_max_perc*Total_NWO_funding),checks!$B$73,"")</f>
        <v>#REF!</v>
      </c>
      <c r="G166" s="111" t="e">
        <f>IF(AND(organisation_type="yes",_xlfn.SINGLE(INDEX(#REF!,pers_fixed_notes[[#This Row],[Row nr]],1))&lt;&gt;"",ISBLANK(_xlfn.SINGLE(INDEX(#REF!,pers_fixed_notes[[#This Row],[Row nr]],1)))),$B$53,"")</f>
        <v>#REF!</v>
      </c>
      <c r="H166" s="111" t="e">
        <f>IF(AND(organisation_name="yes",_xlfn.SINGLE(INDEX(#REF!,pers_fixed_notes[[#This Row],[Row nr]],1))&lt;&gt;"",ISBLANK(_xlfn.SINGLE(INDEX(#REF!,pers_fixed_notes[[#This Row],[Row nr]],1)))),$B$54,"")</f>
        <v>#REF!</v>
      </c>
    </row>
    <row r="167" spans="1:8" hidden="1" outlineLevel="2" x14ac:dyDescent="0.3">
      <c r="A167" s="266">
        <v>37</v>
      </c>
      <c r="B167" s="111" t="str" cm="1">
        <f t="array" aca="1" ref="B167" ca="1">IFERROR(INDEX(pers_fixed_notes[[#This Row],[Empty lines]:[Name organisation not provided]],1,MATCH(TRUE,LEN(pers_fixed_notes[[#This Row],[Empty lines]:[Name organisation not provided]])&gt;0,0)),"")</f>
        <v/>
      </c>
      <c r="C167" s="111" t="str">
        <f>IFERROR(IF(AND(empty_lines="no",LEN(_xlfn.SINGLE(INDEX(#REF!,pers_fixed_notes[[#This Row],[Row nr]])))=0,LEN(_xlfn.SINGLE(INDEX(#REF!,pers_fixed_notes[[#This Row],[Row nr]]+1)))&gt;0),$B$36,""),"")</f>
        <v/>
      </c>
      <c r="D167" s="111" t="e" cm="1">
        <f t="array" ref="D167">IF(AND(LEN(INDEX(#REF!,pers_fixed_notes[[#This Row],[Row nr]],1))=0,LEN(INDEX(#REF!,pers_fixed_notes[[#This Row],[Row nr]],1))&gt;0),checks!$B$74,"")</f>
        <v>#REF!</v>
      </c>
      <c r="E167" s="111" t="e" cm="1">
        <f t="array" ref="E167">IF(AND(LEN(INDEX(#REF!,pers_fixed_notes[[#This Row],[Row nr]],1))&gt;0,#REF!&gt;pers_fixed_max_amount),checks!$B$72,"")</f>
        <v>#REF!</v>
      </c>
      <c r="F167" s="111" t="e" cm="1">
        <f t="array" aca="1" ref="F167" ca="1">IF(AND(LEN(INDEX(#REF!,pers_fixed_notes[[#This Row],[Row nr]],1))&gt;0,#REF!&gt;pers_fixed_max_perc*Total_NWO_funding),checks!$B$73,"")</f>
        <v>#REF!</v>
      </c>
      <c r="G167" s="111" t="e">
        <f>IF(AND(organisation_type="yes",_xlfn.SINGLE(INDEX(#REF!,pers_fixed_notes[[#This Row],[Row nr]],1))&lt;&gt;"",ISBLANK(_xlfn.SINGLE(INDEX(#REF!,pers_fixed_notes[[#This Row],[Row nr]],1)))),$B$53,"")</f>
        <v>#REF!</v>
      </c>
      <c r="H167" s="111" t="e">
        <f>IF(AND(organisation_name="yes",_xlfn.SINGLE(INDEX(#REF!,pers_fixed_notes[[#This Row],[Row nr]],1))&lt;&gt;"",ISBLANK(_xlfn.SINGLE(INDEX(#REF!,pers_fixed_notes[[#This Row],[Row nr]],1)))),$B$54,"")</f>
        <v>#REF!</v>
      </c>
    </row>
    <row r="168" spans="1:8" hidden="1" outlineLevel="2" x14ac:dyDescent="0.3">
      <c r="A168" s="268">
        <v>38</v>
      </c>
      <c r="B168" s="111" t="str" cm="1">
        <f t="array" aca="1" ref="B168" ca="1">IFERROR(INDEX(pers_fixed_notes[[#This Row],[Empty lines]:[Name organisation not provided]],1,MATCH(TRUE,LEN(pers_fixed_notes[[#This Row],[Empty lines]:[Name organisation not provided]])&gt;0,0)),"")</f>
        <v/>
      </c>
      <c r="C168" s="111" t="str">
        <f>IFERROR(IF(AND(empty_lines="no",LEN(_xlfn.SINGLE(INDEX(#REF!,pers_fixed_notes[[#This Row],[Row nr]])))=0,LEN(_xlfn.SINGLE(INDEX(#REF!,pers_fixed_notes[[#This Row],[Row nr]]+1)))&gt;0),$B$36,""),"")</f>
        <v/>
      </c>
      <c r="D168" s="111" t="e" cm="1">
        <f t="array" ref="D168">IF(AND(LEN(INDEX(#REF!,pers_fixed_notes[[#This Row],[Row nr]],1))=0,LEN(INDEX(#REF!,pers_fixed_notes[[#This Row],[Row nr]],1))&gt;0),checks!$B$74,"")</f>
        <v>#REF!</v>
      </c>
      <c r="E168" s="111" t="e" cm="1">
        <f t="array" ref="E168">IF(AND(LEN(INDEX(#REF!,pers_fixed_notes[[#This Row],[Row nr]],1))&gt;0,#REF!&gt;pers_fixed_max_amount),checks!$B$72,"")</f>
        <v>#REF!</v>
      </c>
      <c r="F168" s="111" t="e" cm="1">
        <f t="array" aca="1" ref="F168" ca="1">IF(AND(LEN(INDEX(#REF!,pers_fixed_notes[[#This Row],[Row nr]],1))&gt;0,#REF!&gt;pers_fixed_max_perc*Total_NWO_funding),checks!$B$73,"")</f>
        <v>#REF!</v>
      </c>
      <c r="G168" s="111" t="e">
        <f>IF(AND(organisation_type="yes",_xlfn.SINGLE(INDEX(#REF!,pers_fixed_notes[[#This Row],[Row nr]],1))&lt;&gt;"",ISBLANK(_xlfn.SINGLE(INDEX(#REF!,pers_fixed_notes[[#This Row],[Row nr]],1)))),$B$53,"")</f>
        <v>#REF!</v>
      </c>
      <c r="H168" s="111" t="e">
        <f>IF(AND(organisation_name="yes",_xlfn.SINGLE(INDEX(#REF!,pers_fixed_notes[[#This Row],[Row nr]],1))&lt;&gt;"",ISBLANK(_xlfn.SINGLE(INDEX(#REF!,pers_fixed_notes[[#This Row],[Row nr]],1)))),$B$54,"")</f>
        <v>#REF!</v>
      </c>
    </row>
    <row r="169" spans="1:8" hidden="1" outlineLevel="2" x14ac:dyDescent="0.3">
      <c r="A169" s="266">
        <v>39</v>
      </c>
      <c r="B169" s="111" t="str" cm="1">
        <f t="array" aca="1" ref="B169" ca="1">IFERROR(INDEX(pers_fixed_notes[[#This Row],[Empty lines]:[Name organisation not provided]],1,MATCH(TRUE,LEN(pers_fixed_notes[[#This Row],[Empty lines]:[Name organisation not provided]])&gt;0,0)),"")</f>
        <v/>
      </c>
      <c r="C169" s="111" t="str">
        <f>IFERROR(IF(AND(empty_lines="no",LEN(_xlfn.SINGLE(INDEX(#REF!,pers_fixed_notes[[#This Row],[Row nr]])))=0,LEN(_xlfn.SINGLE(INDEX(#REF!,pers_fixed_notes[[#This Row],[Row nr]]+1)))&gt;0),$B$36,""),"")</f>
        <v/>
      </c>
      <c r="D169" s="111" t="e" cm="1">
        <f t="array" ref="D169">IF(AND(LEN(INDEX(#REF!,pers_fixed_notes[[#This Row],[Row nr]],1))=0,LEN(INDEX(#REF!,pers_fixed_notes[[#This Row],[Row nr]],1))&gt;0),checks!$B$74,"")</f>
        <v>#REF!</v>
      </c>
      <c r="E169" s="111" t="e" cm="1">
        <f t="array" ref="E169">IF(AND(LEN(INDEX(#REF!,pers_fixed_notes[[#This Row],[Row nr]],1))&gt;0,#REF!&gt;pers_fixed_max_amount),checks!$B$72,"")</f>
        <v>#REF!</v>
      </c>
      <c r="F169" s="111" t="e" cm="1">
        <f t="array" aca="1" ref="F169" ca="1">IF(AND(LEN(INDEX(#REF!,pers_fixed_notes[[#This Row],[Row nr]],1))&gt;0,#REF!&gt;pers_fixed_max_perc*Total_NWO_funding),checks!$B$73,"")</f>
        <v>#REF!</v>
      </c>
      <c r="G169" s="111" t="e">
        <f>IF(AND(organisation_type="yes",_xlfn.SINGLE(INDEX(#REF!,pers_fixed_notes[[#This Row],[Row nr]],1))&lt;&gt;"",ISBLANK(_xlfn.SINGLE(INDEX(#REF!,pers_fixed_notes[[#This Row],[Row nr]],1)))),$B$53,"")</f>
        <v>#REF!</v>
      </c>
      <c r="H169" s="111" t="e">
        <f>IF(AND(organisation_name="yes",_xlfn.SINGLE(INDEX(#REF!,pers_fixed_notes[[#This Row],[Row nr]],1))&lt;&gt;"",ISBLANK(_xlfn.SINGLE(INDEX(#REF!,pers_fixed_notes[[#This Row],[Row nr]],1)))),$B$54,"")</f>
        <v>#REF!</v>
      </c>
    </row>
    <row r="170" spans="1:8" hidden="1" outlineLevel="2" x14ac:dyDescent="0.3">
      <c r="A170" s="268">
        <v>40</v>
      </c>
      <c r="B170" s="111" t="str" cm="1">
        <f t="array" aca="1" ref="B170" ca="1">IFERROR(INDEX(pers_fixed_notes[[#This Row],[Empty lines]:[Name organisation not provided]],1,MATCH(TRUE,LEN(pers_fixed_notes[[#This Row],[Empty lines]:[Name organisation not provided]])&gt;0,0)),"")</f>
        <v/>
      </c>
      <c r="C170" s="111" t="str">
        <f>IFERROR(IF(AND(empty_lines="no",LEN(_xlfn.SINGLE(INDEX(#REF!,pers_fixed_notes[[#This Row],[Row nr]])))=0,LEN(_xlfn.SINGLE(INDEX(#REF!,pers_fixed_notes[[#This Row],[Row nr]]+1)))&gt;0),$B$36,""),"")</f>
        <v/>
      </c>
      <c r="D170" s="111" t="e" cm="1">
        <f t="array" ref="D170">IF(AND(LEN(INDEX(#REF!,pers_fixed_notes[[#This Row],[Row nr]],1))=0,LEN(INDEX(#REF!,pers_fixed_notes[[#This Row],[Row nr]],1))&gt;0),checks!$B$74,"")</f>
        <v>#REF!</v>
      </c>
      <c r="E170" s="111" t="e" cm="1">
        <f t="array" ref="E170">IF(AND(LEN(INDEX(#REF!,pers_fixed_notes[[#This Row],[Row nr]],1))&gt;0,#REF!&gt;pers_fixed_max_amount),checks!$B$72,"")</f>
        <v>#REF!</v>
      </c>
      <c r="F170" s="111" t="e" cm="1">
        <f t="array" aca="1" ref="F170" ca="1">IF(AND(LEN(INDEX(#REF!,pers_fixed_notes[[#This Row],[Row nr]],1))&gt;0,#REF!&gt;pers_fixed_max_perc*Total_NWO_funding),checks!$B$73,"")</f>
        <v>#REF!</v>
      </c>
      <c r="G170" s="111" t="e">
        <f>IF(AND(organisation_type="yes",_xlfn.SINGLE(INDEX(#REF!,pers_fixed_notes[[#This Row],[Row nr]],1))&lt;&gt;"",ISBLANK(_xlfn.SINGLE(INDEX(#REF!,pers_fixed_notes[[#This Row],[Row nr]],1)))),$B$53,"")</f>
        <v>#REF!</v>
      </c>
      <c r="H170" s="111" t="e">
        <f>IF(AND(organisation_name="yes",_xlfn.SINGLE(INDEX(#REF!,pers_fixed_notes[[#This Row],[Row nr]],1))&lt;&gt;"",ISBLANK(_xlfn.SINGLE(INDEX(#REF!,pers_fixed_notes[[#This Row],[Row nr]],1)))),$B$54,"")</f>
        <v>#REF!</v>
      </c>
    </row>
    <row r="171" spans="1:8" hidden="1" outlineLevel="2" x14ac:dyDescent="0.3">
      <c r="A171" s="266">
        <v>41</v>
      </c>
      <c r="B171" s="111" t="str" cm="1">
        <f t="array" aca="1" ref="B171" ca="1">IFERROR(INDEX(pers_fixed_notes[[#This Row],[Empty lines]:[Name organisation not provided]],1,MATCH(TRUE,LEN(pers_fixed_notes[[#This Row],[Empty lines]:[Name organisation not provided]])&gt;0,0)),"")</f>
        <v/>
      </c>
      <c r="C171" s="111" t="str">
        <f>IFERROR(IF(AND(empty_lines="no",LEN(_xlfn.SINGLE(INDEX(#REF!,pers_fixed_notes[[#This Row],[Row nr]])))=0,LEN(_xlfn.SINGLE(INDEX(#REF!,pers_fixed_notes[[#This Row],[Row nr]]+1)))&gt;0),$B$36,""),"")</f>
        <v/>
      </c>
      <c r="D171" s="111" t="e" cm="1">
        <f t="array" ref="D171">IF(AND(LEN(INDEX(#REF!,pers_fixed_notes[[#This Row],[Row nr]],1))=0,LEN(INDEX(#REF!,pers_fixed_notes[[#This Row],[Row nr]],1))&gt;0),checks!$B$74,"")</f>
        <v>#REF!</v>
      </c>
      <c r="E171" s="111" t="e" cm="1">
        <f t="array" ref="E171">IF(AND(LEN(INDEX(#REF!,pers_fixed_notes[[#This Row],[Row nr]],1))&gt;0,#REF!&gt;pers_fixed_max_amount),checks!$B$72,"")</f>
        <v>#REF!</v>
      </c>
      <c r="F171" s="111" t="e" cm="1">
        <f t="array" aca="1" ref="F171" ca="1">IF(AND(LEN(INDEX(#REF!,pers_fixed_notes[[#This Row],[Row nr]],1))&gt;0,#REF!&gt;pers_fixed_max_perc*Total_NWO_funding),checks!$B$73,"")</f>
        <v>#REF!</v>
      </c>
      <c r="G171" s="111" t="e">
        <f>IF(AND(organisation_type="yes",_xlfn.SINGLE(INDEX(#REF!,pers_fixed_notes[[#This Row],[Row nr]],1))&lt;&gt;"",ISBLANK(_xlfn.SINGLE(INDEX(#REF!,pers_fixed_notes[[#This Row],[Row nr]],1)))),$B$53,"")</f>
        <v>#REF!</v>
      </c>
      <c r="H171" s="111" t="e">
        <f>IF(AND(organisation_name="yes",_xlfn.SINGLE(INDEX(#REF!,pers_fixed_notes[[#This Row],[Row nr]],1))&lt;&gt;"",ISBLANK(_xlfn.SINGLE(INDEX(#REF!,pers_fixed_notes[[#This Row],[Row nr]],1)))),$B$54,"")</f>
        <v>#REF!</v>
      </c>
    </row>
    <row r="172" spans="1:8" hidden="1" outlineLevel="2" x14ac:dyDescent="0.3">
      <c r="A172" s="268">
        <v>42</v>
      </c>
      <c r="B172" s="111" t="str" cm="1">
        <f t="array" aca="1" ref="B172" ca="1">IFERROR(INDEX(pers_fixed_notes[[#This Row],[Empty lines]:[Name organisation not provided]],1,MATCH(TRUE,LEN(pers_fixed_notes[[#This Row],[Empty lines]:[Name organisation not provided]])&gt;0,0)),"")</f>
        <v/>
      </c>
      <c r="C172" s="111" t="str">
        <f>IFERROR(IF(AND(empty_lines="no",LEN(_xlfn.SINGLE(INDEX(#REF!,pers_fixed_notes[[#This Row],[Row nr]])))=0,LEN(_xlfn.SINGLE(INDEX(#REF!,pers_fixed_notes[[#This Row],[Row nr]]+1)))&gt;0),$B$36,""),"")</f>
        <v/>
      </c>
      <c r="D172" s="111" t="e" cm="1">
        <f t="array" ref="D172">IF(AND(LEN(INDEX(#REF!,pers_fixed_notes[[#This Row],[Row nr]],1))=0,LEN(INDEX(#REF!,pers_fixed_notes[[#This Row],[Row nr]],1))&gt;0),checks!$B$74,"")</f>
        <v>#REF!</v>
      </c>
      <c r="E172" s="111" t="e" cm="1">
        <f t="array" ref="E172">IF(AND(LEN(INDEX(#REF!,pers_fixed_notes[[#This Row],[Row nr]],1))&gt;0,#REF!&gt;pers_fixed_max_amount),checks!$B$72,"")</f>
        <v>#REF!</v>
      </c>
      <c r="F172" s="111" t="e" cm="1">
        <f t="array" aca="1" ref="F172" ca="1">IF(AND(LEN(INDEX(#REF!,pers_fixed_notes[[#This Row],[Row nr]],1))&gt;0,#REF!&gt;pers_fixed_max_perc*Total_NWO_funding),checks!$B$73,"")</f>
        <v>#REF!</v>
      </c>
      <c r="G172" s="111" t="e">
        <f>IF(AND(organisation_type="yes",_xlfn.SINGLE(INDEX(#REF!,pers_fixed_notes[[#This Row],[Row nr]],1))&lt;&gt;"",ISBLANK(_xlfn.SINGLE(INDEX(#REF!,pers_fixed_notes[[#This Row],[Row nr]],1)))),$B$53,"")</f>
        <v>#REF!</v>
      </c>
      <c r="H172" s="111" t="e">
        <f>IF(AND(organisation_name="yes",_xlfn.SINGLE(INDEX(#REF!,pers_fixed_notes[[#This Row],[Row nr]],1))&lt;&gt;"",ISBLANK(_xlfn.SINGLE(INDEX(#REF!,pers_fixed_notes[[#This Row],[Row nr]],1)))),$B$54,"")</f>
        <v>#REF!</v>
      </c>
    </row>
    <row r="173" spans="1:8" hidden="1" outlineLevel="2" x14ac:dyDescent="0.3">
      <c r="A173" s="266">
        <v>43</v>
      </c>
      <c r="B173" s="111" t="str" cm="1">
        <f t="array" aca="1" ref="B173" ca="1">IFERROR(INDEX(pers_fixed_notes[[#This Row],[Empty lines]:[Name organisation not provided]],1,MATCH(TRUE,LEN(pers_fixed_notes[[#This Row],[Empty lines]:[Name organisation not provided]])&gt;0,0)),"")</f>
        <v/>
      </c>
      <c r="C173" s="111" t="str">
        <f>IFERROR(IF(AND(empty_lines="no",LEN(_xlfn.SINGLE(INDEX(#REF!,pers_fixed_notes[[#This Row],[Row nr]])))=0,LEN(_xlfn.SINGLE(INDEX(#REF!,pers_fixed_notes[[#This Row],[Row nr]]+1)))&gt;0),$B$36,""),"")</f>
        <v/>
      </c>
      <c r="D173" s="111" t="e" cm="1">
        <f t="array" ref="D173">IF(AND(LEN(INDEX(#REF!,pers_fixed_notes[[#This Row],[Row nr]],1))=0,LEN(INDEX(#REF!,pers_fixed_notes[[#This Row],[Row nr]],1))&gt;0),checks!$B$74,"")</f>
        <v>#REF!</v>
      </c>
      <c r="E173" s="111" t="e" cm="1">
        <f t="array" ref="E173">IF(AND(LEN(INDEX(#REF!,pers_fixed_notes[[#This Row],[Row nr]],1))&gt;0,#REF!&gt;pers_fixed_max_amount),checks!$B$72,"")</f>
        <v>#REF!</v>
      </c>
      <c r="F173" s="111" t="e" cm="1">
        <f t="array" aca="1" ref="F173" ca="1">IF(AND(LEN(INDEX(#REF!,pers_fixed_notes[[#This Row],[Row nr]],1))&gt;0,#REF!&gt;pers_fixed_max_perc*Total_NWO_funding),checks!$B$73,"")</f>
        <v>#REF!</v>
      </c>
      <c r="G173" s="111" t="e">
        <f>IF(AND(organisation_type="yes",_xlfn.SINGLE(INDEX(#REF!,pers_fixed_notes[[#This Row],[Row nr]],1))&lt;&gt;"",ISBLANK(_xlfn.SINGLE(INDEX(#REF!,pers_fixed_notes[[#This Row],[Row nr]],1)))),$B$53,"")</f>
        <v>#REF!</v>
      </c>
      <c r="H173" s="111" t="e">
        <f>IF(AND(organisation_name="yes",_xlfn.SINGLE(INDEX(#REF!,pers_fixed_notes[[#This Row],[Row nr]],1))&lt;&gt;"",ISBLANK(_xlfn.SINGLE(INDEX(#REF!,pers_fixed_notes[[#This Row],[Row nr]],1)))),$B$54,"")</f>
        <v>#REF!</v>
      </c>
    </row>
    <row r="174" spans="1:8" hidden="1" outlineLevel="2" x14ac:dyDescent="0.3">
      <c r="A174" s="268">
        <v>44</v>
      </c>
      <c r="B174" s="111" t="str" cm="1">
        <f t="array" aca="1" ref="B174" ca="1">IFERROR(INDEX(pers_fixed_notes[[#This Row],[Empty lines]:[Name organisation not provided]],1,MATCH(TRUE,LEN(pers_fixed_notes[[#This Row],[Empty lines]:[Name organisation not provided]])&gt;0,0)),"")</f>
        <v/>
      </c>
      <c r="C174" s="111" t="str">
        <f>IFERROR(IF(AND(empty_lines="no",LEN(_xlfn.SINGLE(INDEX(#REF!,pers_fixed_notes[[#This Row],[Row nr]])))=0,LEN(_xlfn.SINGLE(INDEX(#REF!,pers_fixed_notes[[#This Row],[Row nr]]+1)))&gt;0),$B$36,""),"")</f>
        <v/>
      </c>
      <c r="D174" s="111" t="e" cm="1">
        <f t="array" ref="D174">IF(AND(LEN(INDEX(#REF!,pers_fixed_notes[[#This Row],[Row nr]],1))=0,LEN(INDEX(#REF!,pers_fixed_notes[[#This Row],[Row nr]],1))&gt;0),checks!$B$74,"")</f>
        <v>#REF!</v>
      </c>
      <c r="E174" s="111" t="e" cm="1">
        <f t="array" ref="E174">IF(AND(LEN(INDEX(#REF!,pers_fixed_notes[[#This Row],[Row nr]],1))&gt;0,#REF!&gt;pers_fixed_max_amount),checks!$B$72,"")</f>
        <v>#REF!</v>
      </c>
      <c r="F174" s="111" t="e" cm="1">
        <f t="array" aca="1" ref="F174" ca="1">IF(AND(LEN(INDEX(#REF!,pers_fixed_notes[[#This Row],[Row nr]],1))&gt;0,#REF!&gt;pers_fixed_max_perc*Total_NWO_funding),checks!$B$73,"")</f>
        <v>#REF!</v>
      </c>
      <c r="G174" s="111" t="e">
        <f>IF(AND(organisation_type="yes",_xlfn.SINGLE(INDEX(#REF!,pers_fixed_notes[[#This Row],[Row nr]],1))&lt;&gt;"",ISBLANK(_xlfn.SINGLE(INDEX(#REF!,pers_fixed_notes[[#This Row],[Row nr]],1)))),$B$53,"")</f>
        <v>#REF!</v>
      </c>
      <c r="H174" s="111" t="e">
        <f>IF(AND(organisation_name="yes",_xlfn.SINGLE(INDEX(#REF!,pers_fixed_notes[[#This Row],[Row nr]],1))&lt;&gt;"",ISBLANK(_xlfn.SINGLE(INDEX(#REF!,pers_fixed_notes[[#This Row],[Row nr]],1)))),$B$54,"")</f>
        <v>#REF!</v>
      </c>
    </row>
    <row r="175" spans="1:8" hidden="1" outlineLevel="2" x14ac:dyDescent="0.3">
      <c r="A175" s="266">
        <v>45</v>
      </c>
      <c r="B175" s="111" t="str" cm="1">
        <f t="array" aca="1" ref="B175" ca="1">IFERROR(INDEX(pers_fixed_notes[[#This Row],[Empty lines]:[Name organisation not provided]],1,MATCH(TRUE,LEN(pers_fixed_notes[[#This Row],[Empty lines]:[Name organisation not provided]])&gt;0,0)),"")</f>
        <v/>
      </c>
      <c r="C175" s="111" t="str">
        <f>IFERROR(IF(AND(empty_lines="no",LEN(_xlfn.SINGLE(INDEX(#REF!,pers_fixed_notes[[#This Row],[Row nr]])))=0,LEN(_xlfn.SINGLE(INDEX(#REF!,pers_fixed_notes[[#This Row],[Row nr]]+1)))&gt;0),$B$36,""),"")</f>
        <v/>
      </c>
      <c r="D175" s="111" t="e" cm="1">
        <f t="array" ref="D175">IF(AND(LEN(INDEX(#REF!,pers_fixed_notes[[#This Row],[Row nr]],1))=0,LEN(INDEX(#REF!,pers_fixed_notes[[#This Row],[Row nr]],1))&gt;0),checks!$B$74,"")</f>
        <v>#REF!</v>
      </c>
      <c r="E175" s="111" t="e" cm="1">
        <f t="array" ref="E175">IF(AND(LEN(INDEX(#REF!,pers_fixed_notes[[#This Row],[Row nr]],1))&gt;0,#REF!&gt;pers_fixed_max_amount),checks!$B$72,"")</f>
        <v>#REF!</v>
      </c>
      <c r="F175" s="111" t="e" cm="1">
        <f t="array" aca="1" ref="F175" ca="1">IF(AND(LEN(INDEX(#REF!,pers_fixed_notes[[#This Row],[Row nr]],1))&gt;0,#REF!&gt;pers_fixed_max_perc*Total_NWO_funding),checks!$B$73,"")</f>
        <v>#REF!</v>
      </c>
      <c r="G175" s="111" t="e">
        <f>IF(AND(organisation_type="yes",_xlfn.SINGLE(INDEX(#REF!,pers_fixed_notes[[#This Row],[Row nr]],1))&lt;&gt;"",ISBLANK(_xlfn.SINGLE(INDEX(#REF!,pers_fixed_notes[[#This Row],[Row nr]],1)))),$B$53,"")</f>
        <v>#REF!</v>
      </c>
      <c r="H175" s="111" t="e">
        <f>IF(AND(organisation_name="yes",_xlfn.SINGLE(INDEX(#REF!,pers_fixed_notes[[#This Row],[Row nr]],1))&lt;&gt;"",ISBLANK(_xlfn.SINGLE(INDEX(#REF!,pers_fixed_notes[[#This Row],[Row nr]],1)))),$B$54,"")</f>
        <v>#REF!</v>
      </c>
    </row>
    <row r="176" spans="1:8" hidden="1" outlineLevel="2" x14ac:dyDescent="0.3">
      <c r="A176" s="268">
        <v>46</v>
      </c>
      <c r="B176" s="111" t="str" cm="1">
        <f t="array" aca="1" ref="B176" ca="1">IFERROR(INDEX(pers_fixed_notes[[#This Row],[Empty lines]:[Name organisation not provided]],1,MATCH(TRUE,LEN(pers_fixed_notes[[#This Row],[Empty lines]:[Name organisation not provided]])&gt;0,0)),"")</f>
        <v/>
      </c>
      <c r="C176" s="111" t="str">
        <f>IFERROR(IF(AND(empty_lines="no",LEN(_xlfn.SINGLE(INDEX(#REF!,pers_fixed_notes[[#This Row],[Row nr]])))=0,LEN(_xlfn.SINGLE(INDEX(#REF!,pers_fixed_notes[[#This Row],[Row nr]]+1)))&gt;0),$B$36,""),"")</f>
        <v/>
      </c>
      <c r="D176" s="111" t="e" cm="1">
        <f t="array" ref="D176">IF(AND(LEN(INDEX(#REF!,pers_fixed_notes[[#This Row],[Row nr]],1))=0,LEN(INDEX(#REF!,pers_fixed_notes[[#This Row],[Row nr]],1))&gt;0),checks!$B$74,"")</f>
        <v>#REF!</v>
      </c>
      <c r="E176" s="111" t="e" cm="1">
        <f t="array" ref="E176">IF(AND(LEN(INDEX(#REF!,pers_fixed_notes[[#This Row],[Row nr]],1))&gt;0,#REF!&gt;pers_fixed_max_amount),checks!$B$72,"")</f>
        <v>#REF!</v>
      </c>
      <c r="F176" s="111" t="e" cm="1">
        <f t="array" aca="1" ref="F176" ca="1">IF(AND(LEN(INDEX(#REF!,pers_fixed_notes[[#This Row],[Row nr]],1))&gt;0,#REF!&gt;pers_fixed_max_perc*Total_NWO_funding),checks!$B$73,"")</f>
        <v>#REF!</v>
      </c>
      <c r="G176" s="111" t="e">
        <f>IF(AND(organisation_type="yes",_xlfn.SINGLE(INDEX(#REF!,pers_fixed_notes[[#This Row],[Row nr]],1))&lt;&gt;"",ISBLANK(_xlfn.SINGLE(INDEX(#REF!,pers_fixed_notes[[#This Row],[Row nr]],1)))),$B$53,"")</f>
        <v>#REF!</v>
      </c>
      <c r="H176" s="111" t="e">
        <f>IF(AND(organisation_name="yes",_xlfn.SINGLE(INDEX(#REF!,pers_fixed_notes[[#This Row],[Row nr]],1))&lt;&gt;"",ISBLANK(_xlfn.SINGLE(INDEX(#REF!,pers_fixed_notes[[#This Row],[Row nr]],1)))),$B$54,"")</f>
        <v>#REF!</v>
      </c>
    </row>
    <row r="177" spans="1:8" hidden="1" outlineLevel="2" x14ac:dyDescent="0.3">
      <c r="A177" s="266">
        <v>47</v>
      </c>
      <c r="B177" s="111" t="str" cm="1">
        <f t="array" aca="1" ref="B177" ca="1">IFERROR(INDEX(pers_fixed_notes[[#This Row],[Empty lines]:[Name organisation not provided]],1,MATCH(TRUE,LEN(pers_fixed_notes[[#This Row],[Empty lines]:[Name organisation not provided]])&gt;0,0)),"")</f>
        <v/>
      </c>
      <c r="C177" s="111" t="str">
        <f>IFERROR(IF(AND(empty_lines="no",LEN(_xlfn.SINGLE(INDEX(#REF!,pers_fixed_notes[[#This Row],[Row nr]])))=0,LEN(_xlfn.SINGLE(INDEX(#REF!,pers_fixed_notes[[#This Row],[Row nr]]+1)))&gt;0),$B$36,""),"")</f>
        <v/>
      </c>
      <c r="D177" s="111" t="e" cm="1">
        <f t="array" ref="D177">IF(AND(LEN(INDEX(#REF!,pers_fixed_notes[[#This Row],[Row nr]],1))=0,LEN(INDEX(#REF!,pers_fixed_notes[[#This Row],[Row nr]],1))&gt;0),checks!$B$74,"")</f>
        <v>#REF!</v>
      </c>
      <c r="E177" s="111" t="e" cm="1">
        <f t="array" ref="E177">IF(AND(LEN(INDEX(#REF!,pers_fixed_notes[[#This Row],[Row nr]],1))&gt;0,#REF!&gt;pers_fixed_max_amount),checks!$B$72,"")</f>
        <v>#REF!</v>
      </c>
      <c r="F177" s="111" t="e" cm="1">
        <f t="array" aca="1" ref="F177" ca="1">IF(AND(LEN(INDEX(#REF!,pers_fixed_notes[[#This Row],[Row nr]],1))&gt;0,#REF!&gt;pers_fixed_max_perc*Total_NWO_funding),checks!$B$73,"")</f>
        <v>#REF!</v>
      </c>
      <c r="G177" s="111" t="e">
        <f>IF(AND(organisation_type="yes",_xlfn.SINGLE(INDEX(#REF!,pers_fixed_notes[[#This Row],[Row nr]],1))&lt;&gt;"",ISBLANK(_xlfn.SINGLE(INDEX(#REF!,pers_fixed_notes[[#This Row],[Row nr]],1)))),$B$53,"")</f>
        <v>#REF!</v>
      </c>
      <c r="H177" s="111" t="e">
        <f>IF(AND(organisation_name="yes",_xlfn.SINGLE(INDEX(#REF!,pers_fixed_notes[[#This Row],[Row nr]],1))&lt;&gt;"",ISBLANK(_xlfn.SINGLE(INDEX(#REF!,pers_fixed_notes[[#This Row],[Row nr]],1)))),$B$54,"")</f>
        <v>#REF!</v>
      </c>
    </row>
    <row r="178" spans="1:8" hidden="1" outlineLevel="2" x14ac:dyDescent="0.3">
      <c r="A178" s="268">
        <v>48</v>
      </c>
      <c r="B178" s="111" t="str" cm="1">
        <f t="array" aca="1" ref="B178" ca="1">IFERROR(INDEX(pers_fixed_notes[[#This Row],[Empty lines]:[Name organisation not provided]],1,MATCH(TRUE,LEN(pers_fixed_notes[[#This Row],[Empty lines]:[Name organisation not provided]])&gt;0,0)),"")</f>
        <v/>
      </c>
      <c r="C178" s="111" t="str">
        <f>IFERROR(IF(AND(empty_lines="no",LEN(_xlfn.SINGLE(INDEX(#REF!,pers_fixed_notes[[#This Row],[Row nr]])))=0,LEN(_xlfn.SINGLE(INDEX(#REF!,pers_fixed_notes[[#This Row],[Row nr]]+1)))&gt;0),$B$36,""),"")</f>
        <v/>
      </c>
      <c r="D178" s="111" t="e" cm="1">
        <f t="array" ref="D178">IF(AND(LEN(INDEX(#REF!,pers_fixed_notes[[#This Row],[Row nr]],1))=0,LEN(INDEX(#REF!,pers_fixed_notes[[#This Row],[Row nr]],1))&gt;0),checks!$B$74,"")</f>
        <v>#REF!</v>
      </c>
      <c r="E178" s="111" t="e" cm="1">
        <f t="array" ref="E178">IF(AND(LEN(INDEX(#REF!,pers_fixed_notes[[#This Row],[Row nr]],1))&gt;0,#REF!&gt;pers_fixed_max_amount),checks!$B$72,"")</f>
        <v>#REF!</v>
      </c>
      <c r="F178" s="111" t="e" cm="1">
        <f t="array" aca="1" ref="F178" ca="1">IF(AND(LEN(INDEX(#REF!,pers_fixed_notes[[#This Row],[Row nr]],1))&gt;0,#REF!&gt;pers_fixed_max_perc*Total_NWO_funding),checks!$B$73,"")</f>
        <v>#REF!</v>
      </c>
      <c r="G178" s="111" t="e">
        <f>IF(AND(organisation_type="yes",_xlfn.SINGLE(INDEX(#REF!,pers_fixed_notes[[#This Row],[Row nr]],1))&lt;&gt;"",ISBLANK(_xlfn.SINGLE(INDEX(#REF!,pers_fixed_notes[[#This Row],[Row nr]],1)))),$B$53,"")</f>
        <v>#REF!</v>
      </c>
      <c r="H178" s="111" t="e">
        <f>IF(AND(organisation_name="yes",_xlfn.SINGLE(INDEX(#REF!,pers_fixed_notes[[#This Row],[Row nr]],1))&lt;&gt;"",ISBLANK(_xlfn.SINGLE(INDEX(#REF!,pers_fixed_notes[[#This Row],[Row nr]],1)))),$B$54,"")</f>
        <v>#REF!</v>
      </c>
    </row>
    <row r="179" spans="1:8" hidden="1" outlineLevel="2" x14ac:dyDescent="0.3">
      <c r="A179" s="266">
        <v>49</v>
      </c>
      <c r="B179" s="111" t="str" cm="1">
        <f t="array" aca="1" ref="B179" ca="1">IFERROR(INDEX(pers_fixed_notes[[#This Row],[Empty lines]:[Name organisation not provided]],1,MATCH(TRUE,LEN(pers_fixed_notes[[#This Row],[Empty lines]:[Name organisation not provided]])&gt;0,0)),"")</f>
        <v/>
      </c>
      <c r="C179" s="111" t="str">
        <f>IFERROR(IF(AND(empty_lines="no",LEN(_xlfn.SINGLE(INDEX(#REF!,pers_fixed_notes[[#This Row],[Row nr]])))=0,LEN(_xlfn.SINGLE(INDEX(#REF!,pers_fixed_notes[[#This Row],[Row nr]]+1)))&gt;0),$B$36,""),"")</f>
        <v/>
      </c>
      <c r="D179" s="111" t="e" cm="1">
        <f t="array" ref="D179">IF(AND(LEN(INDEX(#REF!,pers_fixed_notes[[#This Row],[Row nr]],1))=0,LEN(INDEX(#REF!,pers_fixed_notes[[#This Row],[Row nr]],1))&gt;0),checks!$B$74,"")</f>
        <v>#REF!</v>
      </c>
      <c r="E179" s="111" t="e" cm="1">
        <f t="array" ref="E179">IF(AND(LEN(INDEX(#REF!,pers_fixed_notes[[#This Row],[Row nr]],1))&gt;0,#REF!&gt;pers_fixed_max_amount),checks!$B$72,"")</f>
        <v>#REF!</v>
      </c>
      <c r="F179" s="111" t="e" cm="1">
        <f t="array" aca="1" ref="F179" ca="1">IF(AND(LEN(INDEX(#REF!,pers_fixed_notes[[#This Row],[Row nr]],1))&gt;0,#REF!&gt;pers_fixed_max_perc*Total_NWO_funding),checks!$B$73,"")</f>
        <v>#REF!</v>
      </c>
      <c r="G179" s="111" t="e">
        <f>IF(AND(organisation_type="yes",_xlfn.SINGLE(INDEX(#REF!,pers_fixed_notes[[#This Row],[Row nr]],1))&lt;&gt;"",ISBLANK(_xlfn.SINGLE(INDEX(#REF!,pers_fixed_notes[[#This Row],[Row nr]],1)))),$B$53,"")</f>
        <v>#REF!</v>
      </c>
      <c r="H179" s="111" t="e">
        <f>IF(AND(organisation_name="yes",_xlfn.SINGLE(INDEX(#REF!,pers_fixed_notes[[#This Row],[Row nr]],1))&lt;&gt;"",ISBLANK(_xlfn.SINGLE(INDEX(#REF!,pers_fixed_notes[[#This Row],[Row nr]],1)))),$B$54,"")</f>
        <v>#REF!</v>
      </c>
    </row>
    <row r="180" spans="1:8" hidden="1" outlineLevel="2" x14ac:dyDescent="0.3">
      <c r="A180" s="268">
        <v>50</v>
      </c>
      <c r="B180" s="111" t="str" cm="1">
        <f t="array" aca="1" ref="B180" ca="1">IFERROR(INDEX(pers_fixed_notes[[#This Row],[Empty lines]:[Name organisation not provided]],1,MATCH(TRUE,LEN(pers_fixed_notes[[#This Row],[Empty lines]:[Name organisation not provided]])&gt;0,0)),"")</f>
        <v/>
      </c>
      <c r="C180" s="111" t="str">
        <f>IFERROR(IF(AND(empty_lines="no",LEN(_xlfn.SINGLE(INDEX(#REF!,pers_fixed_notes[[#This Row],[Row nr]])))=0,LEN(_xlfn.SINGLE(INDEX(#REF!,pers_fixed_notes[[#This Row],[Row nr]]+1)))&gt;0),$B$36,""),"")</f>
        <v/>
      </c>
      <c r="D180" s="111" t="e" cm="1">
        <f t="array" ref="D180">IF(AND(LEN(INDEX(#REF!,pers_fixed_notes[[#This Row],[Row nr]],1))=0,LEN(INDEX(#REF!,pers_fixed_notes[[#This Row],[Row nr]],1))&gt;0),checks!$B$74,"")</f>
        <v>#REF!</v>
      </c>
      <c r="E180" s="111" t="e" cm="1">
        <f t="array" ref="E180">IF(AND(LEN(INDEX(#REF!,pers_fixed_notes[[#This Row],[Row nr]],1))&gt;0,#REF!&gt;pers_fixed_max_amount),checks!$B$72,"")</f>
        <v>#REF!</v>
      </c>
      <c r="F180" s="111" t="e" cm="1">
        <f t="array" aca="1" ref="F180" ca="1">IF(AND(LEN(INDEX(#REF!,pers_fixed_notes[[#This Row],[Row nr]],1))&gt;0,#REF!&gt;pers_fixed_max_perc*Total_NWO_funding),checks!$B$73,"")</f>
        <v>#REF!</v>
      </c>
      <c r="G180" s="111" t="e">
        <f>IF(AND(organisation_type="yes",_xlfn.SINGLE(INDEX(#REF!,pers_fixed_notes[[#This Row],[Row nr]],1))&lt;&gt;"",ISBLANK(_xlfn.SINGLE(INDEX(#REF!,pers_fixed_notes[[#This Row],[Row nr]],1)))),$B$53,"")</f>
        <v>#REF!</v>
      </c>
      <c r="H180" s="111" t="e">
        <f>IF(AND(organisation_name="yes",_xlfn.SINGLE(INDEX(#REF!,pers_fixed_notes[[#This Row],[Row nr]],1))&lt;&gt;"",ISBLANK(_xlfn.SINGLE(INDEX(#REF!,pers_fixed_notes[[#This Row],[Row nr]],1)))),$B$54,"")</f>
        <v>#REF!</v>
      </c>
    </row>
    <row r="181" spans="1:8" hidden="1" outlineLevel="2" x14ac:dyDescent="0.3">
      <c r="A181" s="266">
        <v>51</v>
      </c>
      <c r="B181" s="111" t="str" cm="1">
        <f t="array" aca="1" ref="B181" ca="1">IFERROR(INDEX(pers_fixed_notes[[#This Row],[Empty lines]:[Name organisation not provided]],1,MATCH(TRUE,LEN(pers_fixed_notes[[#This Row],[Empty lines]:[Name organisation not provided]])&gt;0,0)),"")</f>
        <v/>
      </c>
      <c r="C181" s="111" t="str">
        <f>IFERROR(IF(AND(empty_lines="no",LEN(_xlfn.SINGLE(INDEX(#REF!,pers_fixed_notes[[#This Row],[Row nr]])))=0,LEN(_xlfn.SINGLE(INDEX(#REF!,pers_fixed_notes[[#This Row],[Row nr]]+1)))&gt;0),$B$36,""),"")</f>
        <v/>
      </c>
      <c r="D181" s="111" t="e" cm="1">
        <f t="array" ref="D181">IF(AND(LEN(INDEX(#REF!,pers_fixed_notes[[#This Row],[Row nr]],1))=0,LEN(INDEX(#REF!,pers_fixed_notes[[#This Row],[Row nr]],1))&gt;0),checks!$B$74,"")</f>
        <v>#REF!</v>
      </c>
      <c r="E181" s="111" t="e" cm="1">
        <f t="array" ref="E181">IF(AND(LEN(INDEX(#REF!,pers_fixed_notes[[#This Row],[Row nr]],1))&gt;0,#REF!&gt;pers_fixed_max_amount),checks!$B$72,"")</f>
        <v>#REF!</v>
      </c>
      <c r="F181" s="111" t="e" cm="1">
        <f t="array" aca="1" ref="F181" ca="1">IF(AND(LEN(INDEX(#REF!,pers_fixed_notes[[#This Row],[Row nr]],1))&gt;0,#REF!&gt;pers_fixed_max_perc*Total_NWO_funding),checks!$B$73,"")</f>
        <v>#REF!</v>
      </c>
      <c r="G181" s="111" t="e">
        <f>IF(AND(organisation_type="yes",_xlfn.SINGLE(INDEX(#REF!,pers_fixed_notes[[#This Row],[Row nr]],1))&lt;&gt;"",ISBLANK(_xlfn.SINGLE(INDEX(#REF!,pers_fixed_notes[[#This Row],[Row nr]],1)))),$B$53,"")</f>
        <v>#REF!</v>
      </c>
      <c r="H181" s="111" t="e">
        <f>IF(AND(organisation_name="yes",_xlfn.SINGLE(INDEX(#REF!,pers_fixed_notes[[#This Row],[Row nr]],1))&lt;&gt;"",ISBLANK(_xlfn.SINGLE(INDEX(#REF!,pers_fixed_notes[[#This Row],[Row nr]],1)))),$B$54,"")</f>
        <v>#REF!</v>
      </c>
    </row>
    <row r="182" spans="1:8" hidden="1" outlineLevel="2" x14ac:dyDescent="0.3">
      <c r="A182" s="268">
        <v>52</v>
      </c>
      <c r="B182" s="111" t="str" cm="1">
        <f t="array" aca="1" ref="B182" ca="1">IFERROR(INDEX(pers_fixed_notes[[#This Row],[Empty lines]:[Name organisation not provided]],1,MATCH(TRUE,LEN(pers_fixed_notes[[#This Row],[Empty lines]:[Name organisation not provided]])&gt;0,0)),"")</f>
        <v/>
      </c>
      <c r="C182" s="111" t="str">
        <f>IFERROR(IF(AND(empty_lines="no",LEN(_xlfn.SINGLE(INDEX(#REF!,pers_fixed_notes[[#This Row],[Row nr]])))=0,LEN(_xlfn.SINGLE(INDEX(#REF!,pers_fixed_notes[[#This Row],[Row nr]]+1)))&gt;0),$B$36,""),"")</f>
        <v/>
      </c>
      <c r="D182" s="111" t="e" cm="1">
        <f t="array" ref="D182">IF(AND(LEN(INDEX(#REF!,pers_fixed_notes[[#This Row],[Row nr]],1))=0,LEN(INDEX(#REF!,pers_fixed_notes[[#This Row],[Row nr]],1))&gt;0),checks!$B$74,"")</f>
        <v>#REF!</v>
      </c>
      <c r="E182" s="111" t="e" cm="1">
        <f t="array" ref="E182">IF(AND(LEN(INDEX(#REF!,pers_fixed_notes[[#This Row],[Row nr]],1))&gt;0,#REF!&gt;pers_fixed_max_amount),checks!$B$72,"")</f>
        <v>#REF!</v>
      </c>
      <c r="F182" s="111" t="e" cm="1">
        <f t="array" aca="1" ref="F182" ca="1">IF(AND(LEN(INDEX(#REF!,pers_fixed_notes[[#This Row],[Row nr]],1))&gt;0,#REF!&gt;pers_fixed_max_perc*Total_NWO_funding),checks!$B$73,"")</f>
        <v>#REF!</v>
      </c>
      <c r="G182" s="111" t="e">
        <f>IF(AND(organisation_type="yes",_xlfn.SINGLE(INDEX(#REF!,pers_fixed_notes[[#This Row],[Row nr]],1))&lt;&gt;"",ISBLANK(_xlfn.SINGLE(INDEX(#REF!,pers_fixed_notes[[#This Row],[Row nr]],1)))),$B$53,"")</f>
        <v>#REF!</v>
      </c>
      <c r="H182" s="111" t="e">
        <f>IF(AND(organisation_name="yes",_xlfn.SINGLE(INDEX(#REF!,pers_fixed_notes[[#This Row],[Row nr]],1))&lt;&gt;"",ISBLANK(_xlfn.SINGLE(INDEX(#REF!,pers_fixed_notes[[#This Row],[Row nr]],1)))),$B$54,"")</f>
        <v>#REF!</v>
      </c>
    </row>
    <row r="183" spans="1:8" hidden="1" outlineLevel="2" x14ac:dyDescent="0.3">
      <c r="A183" s="266">
        <v>53</v>
      </c>
      <c r="B183" s="111" t="str" cm="1">
        <f t="array" aca="1" ref="B183" ca="1">IFERROR(INDEX(pers_fixed_notes[[#This Row],[Empty lines]:[Name organisation not provided]],1,MATCH(TRUE,LEN(pers_fixed_notes[[#This Row],[Empty lines]:[Name organisation not provided]])&gt;0,0)),"")</f>
        <v/>
      </c>
      <c r="C183" s="111" t="str">
        <f>IFERROR(IF(AND(empty_lines="no",LEN(_xlfn.SINGLE(INDEX(#REF!,pers_fixed_notes[[#This Row],[Row nr]])))=0,LEN(_xlfn.SINGLE(INDEX(#REF!,pers_fixed_notes[[#This Row],[Row nr]]+1)))&gt;0),$B$36,""),"")</f>
        <v/>
      </c>
      <c r="D183" s="111" t="e" cm="1">
        <f t="array" ref="D183">IF(AND(LEN(INDEX(#REF!,pers_fixed_notes[[#This Row],[Row nr]],1))=0,LEN(INDEX(#REF!,pers_fixed_notes[[#This Row],[Row nr]],1))&gt;0),checks!$B$74,"")</f>
        <v>#REF!</v>
      </c>
      <c r="E183" s="111" t="e" cm="1">
        <f t="array" ref="E183">IF(AND(LEN(INDEX(#REF!,pers_fixed_notes[[#This Row],[Row nr]],1))&gt;0,#REF!&gt;pers_fixed_max_amount),checks!$B$72,"")</f>
        <v>#REF!</v>
      </c>
      <c r="F183" s="111" t="e" cm="1">
        <f t="array" aca="1" ref="F183" ca="1">IF(AND(LEN(INDEX(#REF!,pers_fixed_notes[[#This Row],[Row nr]],1))&gt;0,#REF!&gt;pers_fixed_max_perc*Total_NWO_funding),checks!$B$73,"")</f>
        <v>#REF!</v>
      </c>
      <c r="G183" s="111" t="e">
        <f>IF(AND(organisation_type="yes",_xlfn.SINGLE(INDEX(#REF!,pers_fixed_notes[[#This Row],[Row nr]],1))&lt;&gt;"",ISBLANK(_xlfn.SINGLE(INDEX(#REF!,pers_fixed_notes[[#This Row],[Row nr]],1)))),$B$53,"")</f>
        <v>#REF!</v>
      </c>
      <c r="H183" s="111" t="e">
        <f>IF(AND(organisation_name="yes",_xlfn.SINGLE(INDEX(#REF!,pers_fixed_notes[[#This Row],[Row nr]],1))&lt;&gt;"",ISBLANK(_xlfn.SINGLE(INDEX(#REF!,pers_fixed_notes[[#This Row],[Row nr]],1)))),$B$54,"")</f>
        <v>#REF!</v>
      </c>
    </row>
    <row r="184" spans="1:8" hidden="1" outlineLevel="2" x14ac:dyDescent="0.3">
      <c r="A184" s="268">
        <v>54</v>
      </c>
      <c r="B184" s="111" t="str" cm="1">
        <f t="array" aca="1" ref="B184" ca="1">IFERROR(INDEX(pers_fixed_notes[[#This Row],[Empty lines]:[Name organisation not provided]],1,MATCH(TRUE,LEN(pers_fixed_notes[[#This Row],[Empty lines]:[Name organisation not provided]])&gt;0,0)),"")</f>
        <v/>
      </c>
      <c r="C184" s="111" t="str">
        <f>IFERROR(IF(AND(empty_lines="no",LEN(_xlfn.SINGLE(INDEX(#REF!,pers_fixed_notes[[#This Row],[Row nr]])))=0,LEN(_xlfn.SINGLE(INDEX(#REF!,pers_fixed_notes[[#This Row],[Row nr]]+1)))&gt;0),$B$36,""),"")</f>
        <v/>
      </c>
      <c r="D184" s="111" t="e" cm="1">
        <f t="array" ref="D184">IF(AND(LEN(INDEX(#REF!,pers_fixed_notes[[#This Row],[Row nr]],1))=0,LEN(INDEX(#REF!,pers_fixed_notes[[#This Row],[Row nr]],1))&gt;0),checks!$B$74,"")</f>
        <v>#REF!</v>
      </c>
      <c r="E184" s="111" t="e" cm="1">
        <f t="array" ref="E184">IF(AND(LEN(INDEX(#REF!,pers_fixed_notes[[#This Row],[Row nr]],1))&gt;0,#REF!&gt;pers_fixed_max_amount),checks!$B$72,"")</f>
        <v>#REF!</v>
      </c>
      <c r="F184" s="111" t="e" cm="1">
        <f t="array" aca="1" ref="F184" ca="1">IF(AND(LEN(INDEX(#REF!,pers_fixed_notes[[#This Row],[Row nr]],1))&gt;0,#REF!&gt;pers_fixed_max_perc*Total_NWO_funding),checks!$B$73,"")</f>
        <v>#REF!</v>
      </c>
      <c r="G184" s="111" t="e">
        <f>IF(AND(organisation_type="yes",_xlfn.SINGLE(INDEX(#REF!,pers_fixed_notes[[#This Row],[Row nr]],1))&lt;&gt;"",ISBLANK(_xlfn.SINGLE(INDEX(#REF!,pers_fixed_notes[[#This Row],[Row nr]],1)))),$B$53,"")</f>
        <v>#REF!</v>
      </c>
      <c r="H184" s="111" t="e">
        <f>IF(AND(organisation_name="yes",_xlfn.SINGLE(INDEX(#REF!,pers_fixed_notes[[#This Row],[Row nr]],1))&lt;&gt;"",ISBLANK(_xlfn.SINGLE(INDEX(#REF!,pers_fixed_notes[[#This Row],[Row nr]],1)))),$B$54,"")</f>
        <v>#REF!</v>
      </c>
    </row>
    <row r="185" spans="1:8" hidden="1" outlineLevel="2" x14ac:dyDescent="0.3">
      <c r="A185" s="266">
        <v>55</v>
      </c>
      <c r="B185" s="111" t="str" cm="1">
        <f t="array" aca="1" ref="B185" ca="1">IFERROR(INDEX(pers_fixed_notes[[#This Row],[Empty lines]:[Name organisation not provided]],1,MATCH(TRUE,LEN(pers_fixed_notes[[#This Row],[Empty lines]:[Name organisation not provided]])&gt;0,0)),"")</f>
        <v/>
      </c>
      <c r="C185" s="111" t="str">
        <f>IFERROR(IF(AND(empty_lines="no",LEN(_xlfn.SINGLE(INDEX(#REF!,pers_fixed_notes[[#This Row],[Row nr]])))=0,LEN(_xlfn.SINGLE(INDEX(#REF!,pers_fixed_notes[[#This Row],[Row nr]]+1)))&gt;0),$B$36,""),"")</f>
        <v/>
      </c>
      <c r="D185" s="111" t="e" cm="1">
        <f t="array" ref="D185">IF(AND(LEN(INDEX(#REF!,pers_fixed_notes[[#This Row],[Row nr]],1))=0,LEN(INDEX(#REF!,pers_fixed_notes[[#This Row],[Row nr]],1))&gt;0),checks!$B$74,"")</f>
        <v>#REF!</v>
      </c>
      <c r="E185" s="111" t="e" cm="1">
        <f t="array" ref="E185">IF(AND(LEN(INDEX(#REF!,pers_fixed_notes[[#This Row],[Row nr]],1))&gt;0,#REF!&gt;pers_fixed_max_amount),checks!$B$72,"")</f>
        <v>#REF!</v>
      </c>
      <c r="F185" s="111" t="e" cm="1">
        <f t="array" aca="1" ref="F185" ca="1">IF(AND(LEN(INDEX(#REF!,pers_fixed_notes[[#This Row],[Row nr]],1))&gt;0,#REF!&gt;pers_fixed_max_perc*Total_NWO_funding),checks!$B$73,"")</f>
        <v>#REF!</v>
      </c>
      <c r="G185" s="111" t="e">
        <f>IF(AND(organisation_type="yes",_xlfn.SINGLE(INDEX(#REF!,pers_fixed_notes[[#This Row],[Row nr]],1))&lt;&gt;"",ISBLANK(_xlfn.SINGLE(INDEX(#REF!,pers_fixed_notes[[#This Row],[Row nr]],1)))),$B$53,"")</f>
        <v>#REF!</v>
      </c>
      <c r="H185" s="111" t="e">
        <f>IF(AND(organisation_name="yes",_xlfn.SINGLE(INDEX(#REF!,pers_fixed_notes[[#This Row],[Row nr]],1))&lt;&gt;"",ISBLANK(_xlfn.SINGLE(INDEX(#REF!,pers_fixed_notes[[#This Row],[Row nr]],1)))),$B$54,"")</f>
        <v>#REF!</v>
      </c>
    </row>
    <row r="186" spans="1:8" hidden="1" outlineLevel="2" x14ac:dyDescent="0.3">
      <c r="A186" s="268">
        <v>56</v>
      </c>
      <c r="B186" s="111" t="str" cm="1">
        <f t="array" aca="1" ref="B186" ca="1">IFERROR(INDEX(pers_fixed_notes[[#This Row],[Empty lines]:[Name organisation not provided]],1,MATCH(TRUE,LEN(pers_fixed_notes[[#This Row],[Empty lines]:[Name organisation not provided]])&gt;0,0)),"")</f>
        <v/>
      </c>
      <c r="C186" s="111" t="str">
        <f>IFERROR(IF(AND(empty_lines="no",LEN(_xlfn.SINGLE(INDEX(#REF!,pers_fixed_notes[[#This Row],[Row nr]])))=0,LEN(_xlfn.SINGLE(INDEX(#REF!,pers_fixed_notes[[#This Row],[Row nr]]+1)))&gt;0),$B$36,""),"")</f>
        <v/>
      </c>
      <c r="D186" s="111" t="e" cm="1">
        <f t="array" ref="D186">IF(AND(LEN(INDEX(#REF!,pers_fixed_notes[[#This Row],[Row nr]],1))=0,LEN(INDEX(#REF!,pers_fixed_notes[[#This Row],[Row nr]],1))&gt;0),checks!$B$74,"")</f>
        <v>#REF!</v>
      </c>
      <c r="E186" s="111" t="e" cm="1">
        <f t="array" ref="E186">IF(AND(LEN(INDEX(#REF!,pers_fixed_notes[[#This Row],[Row nr]],1))&gt;0,#REF!&gt;pers_fixed_max_amount),checks!$B$72,"")</f>
        <v>#REF!</v>
      </c>
      <c r="F186" s="111" t="e" cm="1">
        <f t="array" aca="1" ref="F186" ca="1">IF(AND(LEN(INDEX(#REF!,pers_fixed_notes[[#This Row],[Row nr]],1))&gt;0,#REF!&gt;pers_fixed_max_perc*Total_NWO_funding),checks!$B$73,"")</f>
        <v>#REF!</v>
      </c>
      <c r="G186" s="111" t="e">
        <f>IF(AND(organisation_type="yes",_xlfn.SINGLE(INDEX(#REF!,pers_fixed_notes[[#This Row],[Row nr]],1))&lt;&gt;"",ISBLANK(_xlfn.SINGLE(INDEX(#REF!,pers_fixed_notes[[#This Row],[Row nr]],1)))),$B$53,"")</f>
        <v>#REF!</v>
      </c>
      <c r="H186" s="111" t="e">
        <f>IF(AND(organisation_name="yes",_xlfn.SINGLE(INDEX(#REF!,pers_fixed_notes[[#This Row],[Row nr]],1))&lt;&gt;"",ISBLANK(_xlfn.SINGLE(INDEX(#REF!,pers_fixed_notes[[#This Row],[Row nr]],1)))),$B$54,"")</f>
        <v>#REF!</v>
      </c>
    </row>
    <row r="187" spans="1:8" hidden="1" outlineLevel="2" x14ac:dyDescent="0.3">
      <c r="A187" s="266">
        <v>57</v>
      </c>
      <c r="B187" s="111" t="str" cm="1">
        <f t="array" aca="1" ref="B187" ca="1">IFERROR(INDEX(pers_fixed_notes[[#This Row],[Empty lines]:[Name organisation not provided]],1,MATCH(TRUE,LEN(pers_fixed_notes[[#This Row],[Empty lines]:[Name organisation not provided]])&gt;0,0)),"")</f>
        <v/>
      </c>
      <c r="C187" s="111" t="str">
        <f>IFERROR(IF(AND(empty_lines="no",LEN(_xlfn.SINGLE(INDEX(#REF!,pers_fixed_notes[[#This Row],[Row nr]])))=0,LEN(_xlfn.SINGLE(INDEX(#REF!,pers_fixed_notes[[#This Row],[Row nr]]+1)))&gt;0),$B$36,""),"")</f>
        <v/>
      </c>
      <c r="D187" s="111" t="e" cm="1">
        <f t="array" ref="D187">IF(AND(LEN(INDEX(#REF!,pers_fixed_notes[[#This Row],[Row nr]],1))=0,LEN(INDEX(#REF!,pers_fixed_notes[[#This Row],[Row nr]],1))&gt;0),checks!$B$74,"")</f>
        <v>#REF!</v>
      </c>
      <c r="E187" s="111" t="e" cm="1">
        <f t="array" ref="E187">IF(AND(LEN(INDEX(#REF!,pers_fixed_notes[[#This Row],[Row nr]],1))&gt;0,#REF!&gt;pers_fixed_max_amount),checks!$B$72,"")</f>
        <v>#REF!</v>
      </c>
      <c r="F187" s="111" t="e" cm="1">
        <f t="array" aca="1" ref="F187" ca="1">IF(AND(LEN(INDEX(#REF!,pers_fixed_notes[[#This Row],[Row nr]],1))&gt;0,#REF!&gt;pers_fixed_max_perc*Total_NWO_funding),checks!$B$73,"")</f>
        <v>#REF!</v>
      </c>
      <c r="G187" s="111" t="e">
        <f>IF(AND(organisation_type="yes",_xlfn.SINGLE(INDEX(#REF!,pers_fixed_notes[[#This Row],[Row nr]],1))&lt;&gt;"",ISBLANK(_xlfn.SINGLE(INDEX(#REF!,pers_fixed_notes[[#This Row],[Row nr]],1)))),$B$53,"")</f>
        <v>#REF!</v>
      </c>
      <c r="H187" s="111" t="e">
        <f>IF(AND(organisation_name="yes",_xlfn.SINGLE(INDEX(#REF!,pers_fixed_notes[[#This Row],[Row nr]],1))&lt;&gt;"",ISBLANK(_xlfn.SINGLE(INDEX(#REF!,pers_fixed_notes[[#This Row],[Row nr]],1)))),$B$54,"")</f>
        <v>#REF!</v>
      </c>
    </row>
    <row r="188" spans="1:8" hidden="1" outlineLevel="2" x14ac:dyDescent="0.3">
      <c r="A188" s="268">
        <v>58</v>
      </c>
      <c r="B188" s="111" t="str" cm="1">
        <f t="array" aca="1" ref="B188" ca="1">IFERROR(INDEX(pers_fixed_notes[[#This Row],[Empty lines]:[Name organisation not provided]],1,MATCH(TRUE,LEN(pers_fixed_notes[[#This Row],[Empty lines]:[Name organisation not provided]])&gt;0,0)),"")</f>
        <v/>
      </c>
      <c r="C188" s="111" t="str">
        <f>IFERROR(IF(AND(empty_lines="no",LEN(_xlfn.SINGLE(INDEX(#REF!,pers_fixed_notes[[#This Row],[Row nr]])))=0,LEN(_xlfn.SINGLE(INDEX(#REF!,pers_fixed_notes[[#This Row],[Row nr]]+1)))&gt;0),$B$36,""),"")</f>
        <v/>
      </c>
      <c r="D188" s="111" t="e" cm="1">
        <f t="array" ref="D188">IF(AND(LEN(INDEX(#REF!,pers_fixed_notes[[#This Row],[Row nr]],1))=0,LEN(INDEX(#REF!,pers_fixed_notes[[#This Row],[Row nr]],1))&gt;0),checks!$B$74,"")</f>
        <v>#REF!</v>
      </c>
      <c r="E188" s="111" t="e" cm="1">
        <f t="array" ref="E188">IF(AND(LEN(INDEX(#REF!,pers_fixed_notes[[#This Row],[Row nr]],1))&gt;0,#REF!&gt;pers_fixed_max_amount),checks!$B$72,"")</f>
        <v>#REF!</v>
      </c>
      <c r="F188" s="111" t="e" cm="1">
        <f t="array" aca="1" ref="F188" ca="1">IF(AND(LEN(INDEX(#REF!,pers_fixed_notes[[#This Row],[Row nr]],1))&gt;0,#REF!&gt;pers_fixed_max_perc*Total_NWO_funding),checks!$B$73,"")</f>
        <v>#REF!</v>
      </c>
      <c r="G188" s="111" t="e">
        <f>IF(AND(organisation_type="yes",_xlfn.SINGLE(INDEX(#REF!,pers_fixed_notes[[#This Row],[Row nr]],1))&lt;&gt;"",ISBLANK(_xlfn.SINGLE(INDEX(#REF!,pers_fixed_notes[[#This Row],[Row nr]],1)))),$B$53,"")</f>
        <v>#REF!</v>
      </c>
      <c r="H188" s="111" t="e">
        <f>IF(AND(organisation_name="yes",_xlfn.SINGLE(INDEX(#REF!,pers_fixed_notes[[#This Row],[Row nr]],1))&lt;&gt;"",ISBLANK(_xlfn.SINGLE(INDEX(#REF!,pers_fixed_notes[[#This Row],[Row nr]],1)))),$B$54,"")</f>
        <v>#REF!</v>
      </c>
    </row>
    <row r="189" spans="1:8" hidden="1" outlineLevel="2" x14ac:dyDescent="0.3">
      <c r="A189" s="266">
        <v>59</v>
      </c>
      <c r="B189" s="111" t="str" cm="1">
        <f t="array" aca="1" ref="B189" ca="1">IFERROR(INDEX(pers_fixed_notes[[#This Row],[Empty lines]:[Name organisation not provided]],1,MATCH(TRUE,LEN(pers_fixed_notes[[#This Row],[Empty lines]:[Name organisation not provided]])&gt;0,0)),"")</f>
        <v/>
      </c>
      <c r="C189" s="111" t="str">
        <f>IFERROR(IF(AND(empty_lines="no",LEN(_xlfn.SINGLE(INDEX(#REF!,pers_fixed_notes[[#This Row],[Row nr]])))=0,LEN(_xlfn.SINGLE(INDEX(#REF!,pers_fixed_notes[[#This Row],[Row nr]]+1)))&gt;0),$B$36,""),"")</f>
        <v/>
      </c>
      <c r="D189" s="111" t="e" cm="1">
        <f t="array" ref="D189">IF(AND(LEN(INDEX(#REF!,pers_fixed_notes[[#This Row],[Row nr]],1))=0,LEN(INDEX(#REF!,pers_fixed_notes[[#This Row],[Row nr]],1))&gt;0),checks!$B$74,"")</f>
        <v>#REF!</v>
      </c>
      <c r="E189" s="111" t="e" cm="1">
        <f t="array" ref="E189">IF(AND(LEN(INDEX(#REF!,pers_fixed_notes[[#This Row],[Row nr]],1))&gt;0,#REF!&gt;pers_fixed_max_amount),checks!$B$72,"")</f>
        <v>#REF!</v>
      </c>
      <c r="F189" s="111" t="e" cm="1">
        <f t="array" aca="1" ref="F189" ca="1">IF(AND(LEN(INDEX(#REF!,pers_fixed_notes[[#This Row],[Row nr]],1))&gt;0,#REF!&gt;pers_fixed_max_perc*Total_NWO_funding),checks!$B$73,"")</f>
        <v>#REF!</v>
      </c>
      <c r="G189" s="111" t="e">
        <f>IF(AND(organisation_type="yes",_xlfn.SINGLE(INDEX(#REF!,pers_fixed_notes[[#This Row],[Row nr]],1))&lt;&gt;"",ISBLANK(_xlfn.SINGLE(INDEX(#REF!,pers_fixed_notes[[#This Row],[Row nr]],1)))),$B$53,"")</f>
        <v>#REF!</v>
      </c>
      <c r="H189" s="111" t="e">
        <f>IF(AND(organisation_name="yes",_xlfn.SINGLE(INDEX(#REF!,pers_fixed_notes[[#This Row],[Row nr]],1))&lt;&gt;"",ISBLANK(_xlfn.SINGLE(INDEX(#REF!,pers_fixed_notes[[#This Row],[Row nr]],1)))),$B$54,"")</f>
        <v>#REF!</v>
      </c>
    </row>
    <row r="190" spans="1:8" hidden="1" outlineLevel="2" x14ac:dyDescent="0.3">
      <c r="A190" s="268">
        <v>60</v>
      </c>
      <c r="B190" s="111" t="str" cm="1">
        <f t="array" aca="1" ref="B190" ca="1">IFERROR(INDEX(pers_fixed_notes[[#This Row],[Empty lines]:[Name organisation not provided]],1,MATCH(TRUE,LEN(pers_fixed_notes[[#This Row],[Empty lines]:[Name organisation not provided]])&gt;0,0)),"")</f>
        <v/>
      </c>
      <c r="C190" s="111" t="str">
        <f>IFERROR(IF(AND(empty_lines="no",LEN(_xlfn.SINGLE(INDEX(#REF!,pers_fixed_notes[[#This Row],[Row nr]])))=0,LEN(_xlfn.SINGLE(INDEX(#REF!,pers_fixed_notes[[#This Row],[Row nr]]+1)))&gt;0),$B$36,""),"")</f>
        <v/>
      </c>
      <c r="D190" s="111" t="e" cm="1">
        <f t="array" ref="D190">IF(AND(LEN(INDEX(#REF!,pers_fixed_notes[[#This Row],[Row nr]],1))=0,LEN(INDEX(#REF!,pers_fixed_notes[[#This Row],[Row nr]],1))&gt;0),checks!$B$74,"")</f>
        <v>#REF!</v>
      </c>
      <c r="E190" s="111" t="e" cm="1">
        <f t="array" ref="E190">IF(AND(LEN(INDEX(#REF!,pers_fixed_notes[[#This Row],[Row nr]],1))&gt;0,#REF!&gt;pers_fixed_max_amount),checks!$B$72,"")</f>
        <v>#REF!</v>
      </c>
      <c r="F190" s="111" t="e" cm="1">
        <f t="array" aca="1" ref="F190" ca="1">IF(AND(LEN(INDEX(#REF!,pers_fixed_notes[[#This Row],[Row nr]],1))&gt;0,#REF!&gt;pers_fixed_max_perc*Total_NWO_funding),checks!$B$73,"")</f>
        <v>#REF!</v>
      </c>
      <c r="G190" s="111" t="e">
        <f>IF(AND(organisation_type="yes",_xlfn.SINGLE(INDEX(#REF!,pers_fixed_notes[[#This Row],[Row nr]],1))&lt;&gt;"",ISBLANK(_xlfn.SINGLE(INDEX(#REF!,pers_fixed_notes[[#This Row],[Row nr]],1)))),$B$53,"")</f>
        <v>#REF!</v>
      </c>
      <c r="H190" s="111" t="e">
        <f>IF(AND(organisation_name="yes",_xlfn.SINGLE(INDEX(#REF!,pers_fixed_notes[[#This Row],[Row nr]],1))&lt;&gt;"",ISBLANK(_xlfn.SINGLE(INDEX(#REF!,pers_fixed_notes[[#This Row],[Row nr]],1)))),$B$54,"")</f>
        <v>#REF!</v>
      </c>
    </row>
    <row r="191" spans="1:8" hidden="1" outlineLevel="2" x14ac:dyDescent="0.3">
      <c r="A191" s="266">
        <v>61</v>
      </c>
      <c r="B191" s="111" t="str" cm="1">
        <f t="array" aca="1" ref="B191" ca="1">IFERROR(INDEX(pers_fixed_notes[[#This Row],[Empty lines]:[Name organisation not provided]],1,MATCH(TRUE,LEN(pers_fixed_notes[[#This Row],[Empty lines]:[Name organisation not provided]])&gt;0,0)),"")</f>
        <v/>
      </c>
      <c r="C191" s="111" t="str">
        <f>IFERROR(IF(AND(empty_lines="no",LEN(_xlfn.SINGLE(INDEX(#REF!,pers_fixed_notes[[#This Row],[Row nr]])))=0,LEN(_xlfn.SINGLE(INDEX(#REF!,pers_fixed_notes[[#This Row],[Row nr]]+1)))&gt;0),$B$36,""),"")</f>
        <v/>
      </c>
      <c r="D191" s="111" t="e" cm="1">
        <f t="array" ref="D191">IF(AND(LEN(INDEX(#REF!,pers_fixed_notes[[#This Row],[Row nr]],1))=0,LEN(INDEX(#REF!,pers_fixed_notes[[#This Row],[Row nr]],1))&gt;0),checks!$B$74,"")</f>
        <v>#REF!</v>
      </c>
      <c r="E191" s="111" t="e" cm="1">
        <f t="array" ref="E191">IF(AND(LEN(INDEX(#REF!,pers_fixed_notes[[#This Row],[Row nr]],1))&gt;0,#REF!&gt;pers_fixed_max_amount),checks!$B$72,"")</f>
        <v>#REF!</v>
      </c>
      <c r="F191" s="111" t="e" cm="1">
        <f t="array" aca="1" ref="F191" ca="1">IF(AND(LEN(INDEX(#REF!,pers_fixed_notes[[#This Row],[Row nr]],1))&gt;0,#REF!&gt;pers_fixed_max_perc*Total_NWO_funding),checks!$B$73,"")</f>
        <v>#REF!</v>
      </c>
      <c r="G191" s="111" t="e">
        <f>IF(AND(organisation_type="yes",_xlfn.SINGLE(INDEX(#REF!,pers_fixed_notes[[#This Row],[Row nr]],1))&lt;&gt;"",ISBLANK(_xlfn.SINGLE(INDEX(#REF!,pers_fixed_notes[[#This Row],[Row nr]],1)))),$B$53,"")</f>
        <v>#REF!</v>
      </c>
      <c r="H191" s="111" t="e">
        <f>IF(AND(organisation_name="yes",_xlfn.SINGLE(INDEX(#REF!,pers_fixed_notes[[#This Row],[Row nr]],1))&lt;&gt;"",ISBLANK(_xlfn.SINGLE(INDEX(#REF!,pers_fixed_notes[[#This Row],[Row nr]],1)))),$B$54,"")</f>
        <v>#REF!</v>
      </c>
    </row>
    <row r="192" spans="1:8" hidden="1" outlineLevel="2" x14ac:dyDescent="0.3">
      <c r="A192" s="268">
        <v>62</v>
      </c>
      <c r="B192" s="111" t="str" cm="1">
        <f t="array" aca="1" ref="B192" ca="1">IFERROR(INDEX(pers_fixed_notes[[#This Row],[Empty lines]:[Name organisation not provided]],1,MATCH(TRUE,LEN(pers_fixed_notes[[#This Row],[Empty lines]:[Name organisation not provided]])&gt;0,0)),"")</f>
        <v/>
      </c>
      <c r="C192" s="111" t="str">
        <f>IFERROR(IF(AND(empty_lines="no",LEN(_xlfn.SINGLE(INDEX(#REF!,pers_fixed_notes[[#This Row],[Row nr]])))=0,LEN(_xlfn.SINGLE(INDEX(#REF!,pers_fixed_notes[[#This Row],[Row nr]]+1)))&gt;0),$B$36,""),"")</f>
        <v/>
      </c>
      <c r="D192" s="111" t="e" cm="1">
        <f t="array" ref="D192">IF(AND(LEN(INDEX(#REF!,pers_fixed_notes[[#This Row],[Row nr]],1))=0,LEN(INDEX(#REF!,pers_fixed_notes[[#This Row],[Row nr]],1))&gt;0),checks!$B$74,"")</f>
        <v>#REF!</v>
      </c>
      <c r="E192" s="111" t="e" cm="1">
        <f t="array" ref="E192">IF(AND(LEN(INDEX(#REF!,pers_fixed_notes[[#This Row],[Row nr]],1))&gt;0,#REF!&gt;pers_fixed_max_amount),checks!$B$72,"")</f>
        <v>#REF!</v>
      </c>
      <c r="F192" s="111" t="e" cm="1">
        <f t="array" aca="1" ref="F192" ca="1">IF(AND(LEN(INDEX(#REF!,pers_fixed_notes[[#This Row],[Row nr]],1))&gt;0,#REF!&gt;pers_fixed_max_perc*Total_NWO_funding),checks!$B$73,"")</f>
        <v>#REF!</v>
      </c>
      <c r="G192" s="111" t="e">
        <f>IF(AND(organisation_type="yes",_xlfn.SINGLE(INDEX(#REF!,pers_fixed_notes[[#This Row],[Row nr]],1))&lt;&gt;"",ISBLANK(_xlfn.SINGLE(INDEX(#REF!,pers_fixed_notes[[#This Row],[Row nr]],1)))),$B$53,"")</f>
        <v>#REF!</v>
      </c>
      <c r="H192" s="111" t="e">
        <f>IF(AND(organisation_name="yes",_xlfn.SINGLE(INDEX(#REF!,pers_fixed_notes[[#This Row],[Row nr]],1))&lt;&gt;"",ISBLANK(_xlfn.SINGLE(INDEX(#REF!,pers_fixed_notes[[#This Row],[Row nr]],1)))),$B$54,"")</f>
        <v>#REF!</v>
      </c>
    </row>
    <row r="193" spans="1:8" hidden="1" outlineLevel="2" x14ac:dyDescent="0.3">
      <c r="A193" s="266">
        <v>63</v>
      </c>
      <c r="B193" s="111" t="str" cm="1">
        <f t="array" aca="1" ref="B193" ca="1">IFERROR(INDEX(pers_fixed_notes[[#This Row],[Empty lines]:[Name organisation not provided]],1,MATCH(TRUE,LEN(pers_fixed_notes[[#This Row],[Empty lines]:[Name organisation not provided]])&gt;0,0)),"")</f>
        <v/>
      </c>
      <c r="C193" s="111" t="str">
        <f>IFERROR(IF(AND(empty_lines="no",LEN(_xlfn.SINGLE(INDEX(#REF!,pers_fixed_notes[[#This Row],[Row nr]])))=0,LEN(_xlfn.SINGLE(INDEX(#REF!,pers_fixed_notes[[#This Row],[Row nr]]+1)))&gt;0),$B$36,""),"")</f>
        <v/>
      </c>
      <c r="D193" s="111" t="e" cm="1">
        <f t="array" ref="D193">IF(AND(LEN(INDEX(#REF!,pers_fixed_notes[[#This Row],[Row nr]],1))=0,LEN(INDEX(#REF!,pers_fixed_notes[[#This Row],[Row nr]],1))&gt;0),checks!$B$74,"")</f>
        <v>#REF!</v>
      </c>
      <c r="E193" s="111" t="e" cm="1">
        <f t="array" ref="E193">IF(AND(LEN(INDEX(#REF!,pers_fixed_notes[[#This Row],[Row nr]],1))&gt;0,#REF!&gt;pers_fixed_max_amount),checks!$B$72,"")</f>
        <v>#REF!</v>
      </c>
      <c r="F193" s="111" t="e" cm="1">
        <f t="array" aca="1" ref="F193" ca="1">IF(AND(LEN(INDEX(#REF!,pers_fixed_notes[[#This Row],[Row nr]],1))&gt;0,#REF!&gt;pers_fixed_max_perc*Total_NWO_funding),checks!$B$73,"")</f>
        <v>#REF!</v>
      </c>
      <c r="G193" s="111" t="e">
        <f>IF(AND(organisation_type="yes",_xlfn.SINGLE(INDEX(#REF!,pers_fixed_notes[[#This Row],[Row nr]],1))&lt;&gt;"",ISBLANK(_xlfn.SINGLE(INDEX(#REF!,pers_fixed_notes[[#This Row],[Row nr]],1)))),$B$53,"")</f>
        <v>#REF!</v>
      </c>
      <c r="H193" s="111" t="e">
        <f>IF(AND(organisation_name="yes",_xlfn.SINGLE(INDEX(#REF!,pers_fixed_notes[[#This Row],[Row nr]],1))&lt;&gt;"",ISBLANK(_xlfn.SINGLE(INDEX(#REF!,pers_fixed_notes[[#This Row],[Row nr]],1)))),$B$54,"")</f>
        <v>#REF!</v>
      </c>
    </row>
    <row r="194" spans="1:8" hidden="1" outlineLevel="2" x14ac:dyDescent="0.3">
      <c r="A194" s="268">
        <v>64</v>
      </c>
      <c r="B194" s="111" t="str" cm="1">
        <f t="array" aca="1" ref="B194" ca="1">IFERROR(INDEX(pers_fixed_notes[[#This Row],[Empty lines]:[Name organisation not provided]],1,MATCH(TRUE,LEN(pers_fixed_notes[[#This Row],[Empty lines]:[Name organisation not provided]])&gt;0,0)),"")</f>
        <v/>
      </c>
      <c r="C194" s="111" t="str">
        <f>IFERROR(IF(AND(empty_lines="no",LEN(_xlfn.SINGLE(INDEX(#REF!,pers_fixed_notes[[#This Row],[Row nr]])))=0,LEN(_xlfn.SINGLE(INDEX(#REF!,pers_fixed_notes[[#This Row],[Row nr]]+1)))&gt;0),$B$36,""),"")</f>
        <v/>
      </c>
      <c r="D194" s="111" t="e" cm="1">
        <f t="array" ref="D194">IF(AND(LEN(INDEX(#REF!,pers_fixed_notes[[#This Row],[Row nr]],1))=0,LEN(INDEX(#REF!,pers_fixed_notes[[#This Row],[Row nr]],1))&gt;0),checks!$B$74,"")</f>
        <v>#REF!</v>
      </c>
      <c r="E194" s="111" t="e" cm="1">
        <f t="array" ref="E194">IF(AND(LEN(INDEX(#REF!,pers_fixed_notes[[#This Row],[Row nr]],1))&gt;0,#REF!&gt;pers_fixed_max_amount),checks!$B$72,"")</f>
        <v>#REF!</v>
      </c>
      <c r="F194" s="111" t="e" cm="1">
        <f t="array" aca="1" ref="F194" ca="1">IF(AND(LEN(INDEX(#REF!,pers_fixed_notes[[#This Row],[Row nr]],1))&gt;0,#REF!&gt;pers_fixed_max_perc*Total_NWO_funding),checks!$B$73,"")</f>
        <v>#REF!</v>
      </c>
      <c r="G194" s="111" t="e">
        <f>IF(AND(organisation_type="yes",_xlfn.SINGLE(INDEX(#REF!,pers_fixed_notes[[#This Row],[Row nr]],1))&lt;&gt;"",ISBLANK(_xlfn.SINGLE(INDEX(#REF!,pers_fixed_notes[[#This Row],[Row nr]],1)))),$B$53,"")</f>
        <v>#REF!</v>
      </c>
      <c r="H194" s="111" t="e">
        <f>IF(AND(organisation_name="yes",_xlfn.SINGLE(INDEX(#REF!,pers_fixed_notes[[#This Row],[Row nr]],1))&lt;&gt;"",ISBLANK(_xlfn.SINGLE(INDEX(#REF!,pers_fixed_notes[[#This Row],[Row nr]],1)))),$B$54,"")</f>
        <v>#REF!</v>
      </c>
    </row>
    <row r="195" spans="1:8" hidden="1" outlineLevel="2" x14ac:dyDescent="0.3">
      <c r="A195" s="266">
        <v>65</v>
      </c>
      <c r="B195" s="111" t="str" cm="1">
        <f t="array" aca="1" ref="B195" ca="1">IFERROR(INDEX(pers_fixed_notes[[#This Row],[Empty lines]:[Name organisation not provided]],1,MATCH(TRUE,LEN(pers_fixed_notes[[#This Row],[Empty lines]:[Name organisation not provided]])&gt;0,0)),"")</f>
        <v/>
      </c>
      <c r="C195" s="111" t="str">
        <f>IFERROR(IF(AND(empty_lines="no",LEN(_xlfn.SINGLE(INDEX(#REF!,pers_fixed_notes[[#This Row],[Row nr]])))=0,LEN(_xlfn.SINGLE(INDEX(#REF!,pers_fixed_notes[[#This Row],[Row nr]]+1)))&gt;0),$B$36,""),"")</f>
        <v/>
      </c>
      <c r="D195" s="111" t="e" cm="1">
        <f t="array" ref="D195">IF(AND(LEN(INDEX(#REF!,pers_fixed_notes[[#This Row],[Row nr]],1))=0,LEN(INDEX(#REF!,pers_fixed_notes[[#This Row],[Row nr]],1))&gt;0),checks!$B$74,"")</f>
        <v>#REF!</v>
      </c>
      <c r="E195" s="111" t="e" cm="1">
        <f t="array" ref="E195">IF(AND(LEN(INDEX(#REF!,pers_fixed_notes[[#This Row],[Row nr]],1))&gt;0,#REF!&gt;pers_fixed_max_amount),checks!$B$72,"")</f>
        <v>#REF!</v>
      </c>
      <c r="F195" s="111" t="e" cm="1">
        <f t="array" aca="1" ref="F195" ca="1">IF(AND(LEN(INDEX(#REF!,pers_fixed_notes[[#This Row],[Row nr]],1))&gt;0,#REF!&gt;pers_fixed_max_perc*Total_NWO_funding),checks!$B$73,"")</f>
        <v>#REF!</v>
      </c>
      <c r="G195" s="111" t="e">
        <f>IF(AND(organisation_type="yes",_xlfn.SINGLE(INDEX(#REF!,pers_fixed_notes[[#This Row],[Row nr]],1))&lt;&gt;"",ISBLANK(_xlfn.SINGLE(INDEX(#REF!,pers_fixed_notes[[#This Row],[Row nr]],1)))),$B$53,"")</f>
        <v>#REF!</v>
      </c>
      <c r="H195" s="111" t="e">
        <f>IF(AND(organisation_name="yes",_xlfn.SINGLE(INDEX(#REF!,pers_fixed_notes[[#This Row],[Row nr]],1))&lt;&gt;"",ISBLANK(_xlfn.SINGLE(INDEX(#REF!,pers_fixed_notes[[#This Row],[Row nr]],1)))),$B$54,"")</f>
        <v>#REF!</v>
      </c>
    </row>
    <row r="196" spans="1:8" hidden="1" outlineLevel="2" x14ac:dyDescent="0.3">
      <c r="A196" s="268">
        <v>66</v>
      </c>
      <c r="B196" s="111" t="str" cm="1">
        <f t="array" aca="1" ref="B196" ca="1">IFERROR(INDEX(pers_fixed_notes[[#This Row],[Empty lines]:[Name organisation not provided]],1,MATCH(TRUE,LEN(pers_fixed_notes[[#This Row],[Empty lines]:[Name organisation not provided]])&gt;0,0)),"")</f>
        <v/>
      </c>
      <c r="C196" s="111" t="str">
        <f>IFERROR(IF(AND(empty_lines="no",LEN(_xlfn.SINGLE(INDEX(#REF!,pers_fixed_notes[[#This Row],[Row nr]])))=0,LEN(_xlfn.SINGLE(INDEX(#REF!,pers_fixed_notes[[#This Row],[Row nr]]+1)))&gt;0),$B$36,""),"")</f>
        <v/>
      </c>
      <c r="D196" s="111" t="e" cm="1">
        <f t="array" ref="D196">IF(AND(LEN(INDEX(#REF!,pers_fixed_notes[[#This Row],[Row nr]],1))=0,LEN(INDEX(#REF!,pers_fixed_notes[[#This Row],[Row nr]],1))&gt;0),checks!$B$74,"")</f>
        <v>#REF!</v>
      </c>
      <c r="E196" s="111" t="e" cm="1">
        <f t="array" ref="E196">IF(AND(LEN(INDEX(#REF!,pers_fixed_notes[[#This Row],[Row nr]],1))&gt;0,#REF!&gt;pers_fixed_max_amount),checks!$B$72,"")</f>
        <v>#REF!</v>
      </c>
      <c r="F196" s="111" t="e" cm="1">
        <f t="array" aca="1" ref="F196" ca="1">IF(AND(LEN(INDEX(#REF!,pers_fixed_notes[[#This Row],[Row nr]],1))&gt;0,#REF!&gt;pers_fixed_max_perc*Total_NWO_funding),checks!$B$73,"")</f>
        <v>#REF!</v>
      </c>
      <c r="G196" s="111" t="e">
        <f>IF(AND(organisation_type="yes",_xlfn.SINGLE(INDEX(#REF!,pers_fixed_notes[[#This Row],[Row nr]],1))&lt;&gt;"",ISBLANK(_xlfn.SINGLE(INDEX(#REF!,pers_fixed_notes[[#This Row],[Row nr]],1)))),$B$53,"")</f>
        <v>#REF!</v>
      </c>
      <c r="H196" s="111" t="e">
        <f>IF(AND(organisation_name="yes",_xlfn.SINGLE(INDEX(#REF!,pers_fixed_notes[[#This Row],[Row nr]],1))&lt;&gt;"",ISBLANK(_xlfn.SINGLE(INDEX(#REF!,pers_fixed_notes[[#This Row],[Row nr]],1)))),$B$54,"")</f>
        <v>#REF!</v>
      </c>
    </row>
    <row r="197" spans="1:8" hidden="1" outlineLevel="2" x14ac:dyDescent="0.3">
      <c r="A197" s="266">
        <v>67</v>
      </c>
      <c r="B197" s="111" t="str" cm="1">
        <f t="array" aca="1" ref="B197" ca="1">IFERROR(INDEX(pers_fixed_notes[[#This Row],[Empty lines]:[Name organisation not provided]],1,MATCH(TRUE,LEN(pers_fixed_notes[[#This Row],[Empty lines]:[Name organisation not provided]])&gt;0,0)),"")</f>
        <v/>
      </c>
      <c r="C197" s="111" t="str">
        <f>IFERROR(IF(AND(empty_lines="no",LEN(_xlfn.SINGLE(INDEX(#REF!,pers_fixed_notes[[#This Row],[Row nr]])))=0,LEN(_xlfn.SINGLE(INDEX(#REF!,pers_fixed_notes[[#This Row],[Row nr]]+1)))&gt;0),$B$36,""),"")</f>
        <v/>
      </c>
      <c r="D197" s="111" t="e" cm="1">
        <f t="array" ref="D197">IF(AND(LEN(INDEX(#REF!,pers_fixed_notes[[#This Row],[Row nr]],1))=0,LEN(INDEX(#REF!,pers_fixed_notes[[#This Row],[Row nr]],1))&gt;0),checks!$B$74,"")</f>
        <v>#REF!</v>
      </c>
      <c r="E197" s="111" t="e" cm="1">
        <f t="array" ref="E197">IF(AND(LEN(INDEX(#REF!,pers_fixed_notes[[#This Row],[Row nr]],1))&gt;0,#REF!&gt;pers_fixed_max_amount),checks!$B$72,"")</f>
        <v>#REF!</v>
      </c>
      <c r="F197" s="111" t="e" cm="1">
        <f t="array" aca="1" ref="F197" ca="1">IF(AND(LEN(INDEX(#REF!,pers_fixed_notes[[#This Row],[Row nr]],1))&gt;0,#REF!&gt;pers_fixed_max_perc*Total_NWO_funding),checks!$B$73,"")</f>
        <v>#REF!</v>
      </c>
      <c r="G197" s="111" t="e">
        <f>IF(AND(organisation_type="yes",_xlfn.SINGLE(INDEX(#REF!,pers_fixed_notes[[#This Row],[Row nr]],1))&lt;&gt;"",ISBLANK(_xlfn.SINGLE(INDEX(#REF!,pers_fixed_notes[[#This Row],[Row nr]],1)))),$B$53,"")</f>
        <v>#REF!</v>
      </c>
      <c r="H197" s="111" t="e">
        <f>IF(AND(organisation_name="yes",_xlfn.SINGLE(INDEX(#REF!,pers_fixed_notes[[#This Row],[Row nr]],1))&lt;&gt;"",ISBLANK(_xlfn.SINGLE(INDEX(#REF!,pers_fixed_notes[[#This Row],[Row nr]],1)))),$B$54,"")</f>
        <v>#REF!</v>
      </c>
    </row>
    <row r="198" spans="1:8" hidden="1" outlineLevel="2" x14ac:dyDescent="0.3">
      <c r="A198" s="268">
        <v>68</v>
      </c>
      <c r="B198" s="111" t="str" cm="1">
        <f t="array" aca="1" ref="B198" ca="1">IFERROR(INDEX(pers_fixed_notes[[#This Row],[Empty lines]:[Name organisation not provided]],1,MATCH(TRUE,LEN(pers_fixed_notes[[#This Row],[Empty lines]:[Name organisation not provided]])&gt;0,0)),"")</f>
        <v/>
      </c>
      <c r="C198" s="111" t="str">
        <f>IFERROR(IF(AND(empty_lines="no",LEN(_xlfn.SINGLE(INDEX(#REF!,pers_fixed_notes[[#This Row],[Row nr]])))=0,LEN(_xlfn.SINGLE(INDEX(#REF!,pers_fixed_notes[[#This Row],[Row nr]]+1)))&gt;0),$B$36,""),"")</f>
        <v/>
      </c>
      <c r="D198" s="111" t="e" cm="1">
        <f t="array" ref="D198">IF(AND(LEN(INDEX(#REF!,pers_fixed_notes[[#This Row],[Row nr]],1))=0,LEN(INDEX(#REF!,pers_fixed_notes[[#This Row],[Row nr]],1))&gt;0),checks!$B$74,"")</f>
        <v>#REF!</v>
      </c>
      <c r="E198" s="111" t="e" cm="1">
        <f t="array" ref="E198">IF(AND(LEN(INDEX(#REF!,pers_fixed_notes[[#This Row],[Row nr]],1))&gt;0,#REF!&gt;pers_fixed_max_amount),checks!$B$72,"")</f>
        <v>#REF!</v>
      </c>
      <c r="F198" s="111" t="e" cm="1">
        <f t="array" aca="1" ref="F198" ca="1">IF(AND(LEN(INDEX(#REF!,pers_fixed_notes[[#This Row],[Row nr]],1))&gt;0,#REF!&gt;pers_fixed_max_perc*Total_NWO_funding),checks!$B$73,"")</f>
        <v>#REF!</v>
      </c>
      <c r="G198" s="111" t="e">
        <f>IF(AND(organisation_type="yes",_xlfn.SINGLE(INDEX(#REF!,pers_fixed_notes[[#This Row],[Row nr]],1))&lt;&gt;"",ISBLANK(_xlfn.SINGLE(INDEX(#REF!,pers_fixed_notes[[#This Row],[Row nr]],1)))),$B$53,"")</f>
        <v>#REF!</v>
      </c>
      <c r="H198" s="111" t="e">
        <f>IF(AND(organisation_name="yes",_xlfn.SINGLE(INDEX(#REF!,pers_fixed_notes[[#This Row],[Row nr]],1))&lt;&gt;"",ISBLANK(_xlfn.SINGLE(INDEX(#REF!,pers_fixed_notes[[#This Row],[Row nr]],1)))),$B$54,"")</f>
        <v>#REF!</v>
      </c>
    </row>
    <row r="199" spans="1:8" hidden="1" outlineLevel="2" x14ac:dyDescent="0.3">
      <c r="A199" s="266">
        <v>69</v>
      </c>
      <c r="B199" s="111" t="str" cm="1">
        <f t="array" aca="1" ref="B199" ca="1">IFERROR(INDEX(pers_fixed_notes[[#This Row],[Empty lines]:[Name organisation not provided]],1,MATCH(TRUE,LEN(pers_fixed_notes[[#This Row],[Empty lines]:[Name organisation not provided]])&gt;0,0)),"")</f>
        <v/>
      </c>
      <c r="C199" s="111" t="str">
        <f>IFERROR(IF(AND(empty_lines="no",LEN(_xlfn.SINGLE(INDEX(#REF!,pers_fixed_notes[[#This Row],[Row nr]])))=0,LEN(_xlfn.SINGLE(INDEX(#REF!,pers_fixed_notes[[#This Row],[Row nr]]+1)))&gt;0),$B$36,""),"")</f>
        <v/>
      </c>
      <c r="D199" s="111" t="e" cm="1">
        <f t="array" ref="D199">IF(AND(LEN(INDEX(#REF!,pers_fixed_notes[[#This Row],[Row nr]],1))=0,LEN(INDEX(#REF!,pers_fixed_notes[[#This Row],[Row nr]],1))&gt;0),checks!$B$74,"")</f>
        <v>#REF!</v>
      </c>
      <c r="E199" s="111" t="e" cm="1">
        <f t="array" ref="E199">IF(AND(LEN(INDEX(#REF!,pers_fixed_notes[[#This Row],[Row nr]],1))&gt;0,#REF!&gt;pers_fixed_max_amount),checks!$B$72,"")</f>
        <v>#REF!</v>
      </c>
      <c r="F199" s="111" t="e" cm="1">
        <f t="array" aca="1" ref="F199" ca="1">IF(AND(LEN(INDEX(#REF!,pers_fixed_notes[[#This Row],[Row nr]],1))&gt;0,#REF!&gt;pers_fixed_max_perc*Total_NWO_funding),checks!$B$73,"")</f>
        <v>#REF!</v>
      </c>
      <c r="G199" s="111" t="e">
        <f>IF(AND(organisation_type="yes",_xlfn.SINGLE(INDEX(#REF!,pers_fixed_notes[[#This Row],[Row nr]],1))&lt;&gt;"",ISBLANK(_xlfn.SINGLE(INDEX(#REF!,pers_fixed_notes[[#This Row],[Row nr]],1)))),$B$53,"")</f>
        <v>#REF!</v>
      </c>
      <c r="H199" s="111" t="e">
        <f>IF(AND(organisation_name="yes",_xlfn.SINGLE(INDEX(#REF!,pers_fixed_notes[[#This Row],[Row nr]],1))&lt;&gt;"",ISBLANK(_xlfn.SINGLE(INDEX(#REF!,pers_fixed_notes[[#This Row],[Row nr]],1)))),$B$54,"")</f>
        <v>#REF!</v>
      </c>
    </row>
    <row r="200" spans="1:8" hidden="1" outlineLevel="2" x14ac:dyDescent="0.3">
      <c r="A200" s="268">
        <v>70</v>
      </c>
      <c r="B200" s="111" t="str" cm="1">
        <f t="array" aca="1" ref="B200" ca="1">IFERROR(INDEX(pers_fixed_notes[[#This Row],[Empty lines]:[Name organisation not provided]],1,MATCH(TRUE,LEN(pers_fixed_notes[[#This Row],[Empty lines]:[Name organisation not provided]])&gt;0,0)),"")</f>
        <v/>
      </c>
      <c r="C200" s="111" t="str">
        <f>IFERROR(IF(AND(empty_lines="no",LEN(_xlfn.SINGLE(INDEX(#REF!,pers_fixed_notes[[#This Row],[Row nr]])))=0,LEN(_xlfn.SINGLE(INDEX(#REF!,pers_fixed_notes[[#This Row],[Row nr]]+1)))&gt;0),$B$36,""),"")</f>
        <v/>
      </c>
      <c r="D200" s="111" t="e" cm="1">
        <f t="array" ref="D200">IF(AND(LEN(INDEX(#REF!,pers_fixed_notes[[#This Row],[Row nr]],1))=0,LEN(INDEX(#REF!,pers_fixed_notes[[#This Row],[Row nr]],1))&gt;0),checks!$B$74,"")</f>
        <v>#REF!</v>
      </c>
      <c r="E200" s="111" t="e" cm="1">
        <f t="array" ref="E200">IF(AND(LEN(INDEX(#REF!,pers_fixed_notes[[#This Row],[Row nr]],1))&gt;0,#REF!&gt;pers_fixed_max_amount),checks!$B$72,"")</f>
        <v>#REF!</v>
      </c>
      <c r="F200" s="111" t="e" cm="1">
        <f t="array" aca="1" ref="F200" ca="1">IF(AND(LEN(INDEX(#REF!,pers_fixed_notes[[#This Row],[Row nr]],1))&gt;0,#REF!&gt;pers_fixed_max_perc*Total_NWO_funding),checks!$B$73,"")</f>
        <v>#REF!</v>
      </c>
      <c r="G200" s="111" t="e">
        <f>IF(AND(organisation_type="yes",_xlfn.SINGLE(INDEX(#REF!,pers_fixed_notes[[#This Row],[Row nr]],1))&lt;&gt;"",ISBLANK(_xlfn.SINGLE(INDEX(#REF!,pers_fixed_notes[[#This Row],[Row nr]],1)))),$B$53,"")</f>
        <v>#REF!</v>
      </c>
      <c r="H200" s="111" t="e">
        <f>IF(AND(organisation_name="yes",_xlfn.SINGLE(INDEX(#REF!,pers_fixed_notes[[#This Row],[Row nr]],1))&lt;&gt;"",ISBLANK(_xlfn.SINGLE(INDEX(#REF!,pers_fixed_notes[[#This Row],[Row nr]],1)))),$B$54,"")</f>
        <v>#REF!</v>
      </c>
    </row>
    <row r="201" spans="1:8" hidden="1" outlineLevel="2" x14ac:dyDescent="0.3">
      <c r="A201" s="266">
        <v>71</v>
      </c>
      <c r="B201" s="111" t="str" cm="1">
        <f t="array" aca="1" ref="B201" ca="1">IFERROR(INDEX(pers_fixed_notes[[#This Row],[Empty lines]:[Name organisation not provided]],1,MATCH(TRUE,LEN(pers_fixed_notes[[#This Row],[Empty lines]:[Name organisation not provided]])&gt;0,0)),"")</f>
        <v/>
      </c>
      <c r="C201" s="111" t="str">
        <f>IFERROR(IF(AND(empty_lines="no",LEN(_xlfn.SINGLE(INDEX(#REF!,pers_fixed_notes[[#This Row],[Row nr]])))=0,LEN(_xlfn.SINGLE(INDEX(#REF!,pers_fixed_notes[[#This Row],[Row nr]]+1)))&gt;0),$B$36,""),"")</f>
        <v/>
      </c>
      <c r="D201" s="111" t="e" cm="1">
        <f t="array" ref="D201">IF(AND(LEN(INDEX(#REF!,pers_fixed_notes[[#This Row],[Row nr]],1))=0,LEN(INDEX(#REF!,pers_fixed_notes[[#This Row],[Row nr]],1))&gt;0),checks!$B$74,"")</f>
        <v>#REF!</v>
      </c>
      <c r="E201" s="111" t="e" cm="1">
        <f t="array" ref="E201">IF(AND(LEN(INDEX(#REF!,pers_fixed_notes[[#This Row],[Row nr]],1))&gt;0,#REF!&gt;pers_fixed_max_amount),checks!$B$72,"")</f>
        <v>#REF!</v>
      </c>
      <c r="F201" s="111" t="e" cm="1">
        <f t="array" aca="1" ref="F201" ca="1">IF(AND(LEN(INDEX(#REF!,pers_fixed_notes[[#This Row],[Row nr]],1))&gt;0,#REF!&gt;pers_fixed_max_perc*Total_NWO_funding),checks!$B$73,"")</f>
        <v>#REF!</v>
      </c>
      <c r="G201" s="111" t="e">
        <f>IF(AND(organisation_type="yes",_xlfn.SINGLE(INDEX(#REF!,pers_fixed_notes[[#This Row],[Row nr]],1))&lt;&gt;"",ISBLANK(_xlfn.SINGLE(INDEX(#REF!,pers_fixed_notes[[#This Row],[Row nr]],1)))),$B$53,"")</f>
        <v>#REF!</v>
      </c>
      <c r="H201" s="111" t="e">
        <f>IF(AND(organisation_name="yes",_xlfn.SINGLE(INDEX(#REF!,pers_fixed_notes[[#This Row],[Row nr]],1))&lt;&gt;"",ISBLANK(_xlfn.SINGLE(INDEX(#REF!,pers_fixed_notes[[#This Row],[Row nr]],1)))),$B$54,"")</f>
        <v>#REF!</v>
      </c>
    </row>
    <row r="202" spans="1:8" hidden="1" outlineLevel="2" x14ac:dyDescent="0.3">
      <c r="A202" s="268">
        <v>72</v>
      </c>
      <c r="B202" s="111" t="str" cm="1">
        <f t="array" aca="1" ref="B202" ca="1">IFERROR(INDEX(pers_fixed_notes[[#This Row],[Empty lines]:[Name organisation not provided]],1,MATCH(TRUE,LEN(pers_fixed_notes[[#This Row],[Empty lines]:[Name organisation not provided]])&gt;0,0)),"")</f>
        <v/>
      </c>
      <c r="C202" s="111" t="str">
        <f>IFERROR(IF(AND(empty_lines="no",LEN(_xlfn.SINGLE(INDEX(#REF!,pers_fixed_notes[[#This Row],[Row nr]])))=0,LEN(_xlfn.SINGLE(INDEX(#REF!,pers_fixed_notes[[#This Row],[Row nr]]+1)))&gt;0),$B$36,""),"")</f>
        <v/>
      </c>
      <c r="D202" s="111" t="e" cm="1">
        <f t="array" ref="D202">IF(AND(LEN(INDEX(#REF!,pers_fixed_notes[[#This Row],[Row nr]],1))=0,LEN(INDEX(#REF!,pers_fixed_notes[[#This Row],[Row nr]],1))&gt;0),checks!$B$74,"")</f>
        <v>#REF!</v>
      </c>
      <c r="E202" s="111" t="e" cm="1">
        <f t="array" ref="E202">IF(AND(LEN(INDEX(#REF!,pers_fixed_notes[[#This Row],[Row nr]],1))&gt;0,#REF!&gt;pers_fixed_max_amount),checks!$B$72,"")</f>
        <v>#REF!</v>
      </c>
      <c r="F202" s="111" t="e" cm="1">
        <f t="array" aca="1" ref="F202" ca="1">IF(AND(LEN(INDEX(#REF!,pers_fixed_notes[[#This Row],[Row nr]],1))&gt;0,#REF!&gt;pers_fixed_max_perc*Total_NWO_funding),checks!$B$73,"")</f>
        <v>#REF!</v>
      </c>
      <c r="G202" s="111" t="e">
        <f>IF(AND(organisation_type="yes",_xlfn.SINGLE(INDEX(#REF!,pers_fixed_notes[[#This Row],[Row nr]],1))&lt;&gt;"",ISBLANK(_xlfn.SINGLE(INDEX(#REF!,pers_fixed_notes[[#This Row],[Row nr]],1)))),$B$53,"")</f>
        <v>#REF!</v>
      </c>
      <c r="H202" s="111" t="e">
        <f>IF(AND(organisation_name="yes",_xlfn.SINGLE(INDEX(#REF!,pers_fixed_notes[[#This Row],[Row nr]],1))&lt;&gt;"",ISBLANK(_xlfn.SINGLE(INDEX(#REF!,pers_fixed_notes[[#This Row],[Row nr]],1)))),$B$54,"")</f>
        <v>#REF!</v>
      </c>
    </row>
    <row r="203" spans="1:8" hidden="1" outlineLevel="2" x14ac:dyDescent="0.3">
      <c r="A203" s="266">
        <v>73</v>
      </c>
      <c r="B203" s="111" t="str" cm="1">
        <f t="array" aca="1" ref="B203" ca="1">IFERROR(INDEX(pers_fixed_notes[[#This Row],[Empty lines]:[Name organisation not provided]],1,MATCH(TRUE,LEN(pers_fixed_notes[[#This Row],[Empty lines]:[Name organisation not provided]])&gt;0,0)),"")</f>
        <v/>
      </c>
      <c r="C203" s="111" t="str">
        <f>IFERROR(IF(AND(empty_lines="no",LEN(_xlfn.SINGLE(INDEX(#REF!,pers_fixed_notes[[#This Row],[Row nr]])))=0,LEN(_xlfn.SINGLE(INDEX(#REF!,pers_fixed_notes[[#This Row],[Row nr]]+1)))&gt;0),$B$36,""),"")</f>
        <v/>
      </c>
      <c r="D203" s="111" t="e" cm="1">
        <f t="array" ref="D203">IF(AND(LEN(INDEX(#REF!,pers_fixed_notes[[#This Row],[Row nr]],1))=0,LEN(INDEX(#REF!,pers_fixed_notes[[#This Row],[Row nr]],1))&gt;0),checks!$B$74,"")</f>
        <v>#REF!</v>
      </c>
      <c r="E203" s="111" t="e" cm="1">
        <f t="array" ref="E203">IF(AND(LEN(INDEX(#REF!,pers_fixed_notes[[#This Row],[Row nr]],1))&gt;0,#REF!&gt;pers_fixed_max_amount),checks!$B$72,"")</f>
        <v>#REF!</v>
      </c>
      <c r="F203" s="111" t="e" cm="1">
        <f t="array" aca="1" ref="F203" ca="1">IF(AND(LEN(INDEX(#REF!,pers_fixed_notes[[#This Row],[Row nr]],1))&gt;0,#REF!&gt;pers_fixed_max_perc*Total_NWO_funding),checks!$B$73,"")</f>
        <v>#REF!</v>
      </c>
      <c r="G203" s="111" t="e">
        <f>IF(AND(organisation_type="yes",_xlfn.SINGLE(INDEX(#REF!,pers_fixed_notes[[#This Row],[Row nr]],1))&lt;&gt;"",ISBLANK(_xlfn.SINGLE(INDEX(#REF!,pers_fixed_notes[[#This Row],[Row nr]],1)))),$B$53,"")</f>
        <v>#REF!</v>
      </c>
      <c r="H203" s="111" t="e">
        <f>IF(AND(organisation_name="yes",_xlfn.SINGLE(INDEX(#REF!,pers_fixed_notes[[#This Row],[Row nr]],1))&lt;&gt;"",ISBLANK(_xlfn.SINGLE(INDEX(#REF!,pers_fixed_notes[[#This Row],[Row nr]],1)))),$B$54,"")</f>
        <v>#REF!</v>
      </c>
    </row>
    <row r="204" spans="1:8" hidden="1" outlineLevel="2" x14ac:dyDescent="0.3">
      <c r="A204" s="268">
        <v>74</v>
      </c>
      <c r="B204" s="111" t="str" cm="1">
        <f t="array" aca="1" ref="B204" ca="1">IFERROR(INDEX(pers_fixed_notes[[#This Row],[Empty lines]:[Name organisation not provided]],1,MATCH(TRUE,LEN(pers_fixed_notes[[#This Row],[Empty lines]:[Name organisation not provided]])&gt;0,0)),"")</f>
        <v/>
      </c>
      <c r="C204" s="111" t="str">
        <f>IFERROR(IF(AND(empty_lines="no",LEN(_xlfn.SINGLE(INDEX(#REF!,pers_fixed_notes[[#This Row],[Row nr]])))=0,LEN(_xlfn.SINGLE(INDEX(#REF!,pers_fixed_notes[[#This Row],[Row nr]]+1)))&gt;0),$B$36,""),"")</f>
        <v/>
      </c>
      <c r="D204" s="111" t="e" cm="1">
        <f t="array" ref="D204">IF(AND(LEN(INDEX(#REF!,pers_fixed_notes[[#This Row],[Row nr]],1))=0,LEN(INDEX(#REF!,pers_fixed_notes[[#This Row],[Row nr]],1))&gt;0),checks!$B$74,"")</f>
        <v>#REF!</v>
      </c>
      <c r="E204" s="111" t="e" cm="1">
        <f t="array" ref="E204">IF(AND(LEN(INDEX(#REF!,pers_fixed_notes[[#This Row],[Row nr]],1))&gt;0,#REF!&gt;pers_fixed_max_amount),checks!$B$72,"")</f>
        <v>#REF!</v>
      </c>
      <c r="F204" s="111" t="e" cm="1">
        <f t="array" aca="1" ref="F204" ca="1">IF(AND(LEN(INDEX(#REF!,pers_fixed_notes[[#This Row],[Row nr]],1))&gt;0,#REF!&gt;pers_fixed_max_perc*Total_NWO_funding),checks!$B$73,"")</f>
        <v>#REF!</v>
      </c>
      <c r="G204" s="111" t="e">
        <f>IF(AND(organisation_type="yes",_xlfn.SINGLE(INDEX(#REF!,pers_fixed_notes[[#This Row],[Row nr]],1))&lt;&gt;"",ISBLANK(_xlfn.SINGLE(INDEX(#REF!,pers_fixed_notes[[#This Row],[Row nr]],1)))),$B$53,"")</f>
        <v>#REF!</v>
      </c>
      <c r="H204" s="111" t="e">
        <f>IF(AND(organisation_name="yes",_xlfn.SINGLE(INDEX(#REF!,pers_fixed_notes[[#This Row],[Row nr]],1))&lt;&gt;"",ISBLANK(_xlfn.SINGLE(INDEX(#REF!,pers_fixed_notes[[#This Row],[Row nr]],1)))),$B$54,"")</f>
        <v>#REF!</v>
      </c>
    </row>
    <row r="205" spans="1:8" hidden="1" outlineLevel="2" x14ac:dyDescent="0.3">
      <c r="A205" s="266">
        <v>75</v>
      </c>
      <c r="B205" s="111" t="str" cm="1">
        <f t="array" aca="1" ref="B205" ca="1">IFERROR(INDEX(pers_fixed_notes[[#This Row],[Empty lines]:[Name organisation not provided]],1,MATCH(TRUE,LEN(pers_fixed_notes[[#This Row],[Empty lines]:[Name organisation not provided]])&gt;0,0)),"")</f>
        <v/>
      </c>
      <c r="C205" s="111" t="str">
        <f>IFERROR(IF(AND(empty_lines="no",LEN(_xlfn.SINGLE(INDEX(#REF!,pers_fixed_notes[[#This Row],[Row nr]])))=0,LEN(_xlfn.SINGLE(INDEX(#REF!,pers_fixed_notes[[#This Row],[Row nr]]+1)))&gt;0),$B$36,""),"")</f>
        <v/>
      </c>
      <c r="D205" s="111" t="e" cm="1">
        <f t="array" ref="D205">IF(AND(LEN(INDEX(#REF!,pers_fixed_notes[[#This Row],[Row nr]],1))=0,LEN(INDEX(#REF!,pers_fixed_notes[[#This Row],[Row nr]],1))&gt;0),checks!$B$74,"")</f>
        <v>#REF!</v>
      </c>
      <c r="E205" s="111" t="e" cm="1">
        <f t="array" ref="E205">IF(AND(LEN(INDEX(#REF!,pers_fixed_notes[[#This Row],[Row nr]],1))&gt;0,#REF!&gt;pers_fixed_max_amount),checks!$B$72,"")</f>
        <v>#REF!</v>
      </c>
      <c r="F205" s="111" t="e" cm="1">
        <f t="array" aca="1" ref="F205" ca="1">IF(AND(LEN(INDEX(#REF!,pers_fixed_notes[[#This Row],[Row nr]],1))&gt;0,#REF!&gt;pers_fixed_max_perc*Total_NWO_funding),checks!$B$73,"")</f>
        <v>#REF!</v>
      </c>
      <c r="G205" s="111" t="e">
        <f>IF(AND(organisation_type="yes",_xlfn.SINGLE(INDEX(#REF!,pers_fixed_notes[[#This Row],[Row nr]],1))&lt;&gt;"",ISBLANK(_xlfn.SINGLE(INDEX(#REF!,pers_fixed_notes[[#This Row],[Row nr]],1)))),$B$53,"")</f>
        <v>#REF!</v>
      </c>
      <c r="H205" s="111" t="e">
        <f>IF(AND(organisation_name="yes",_xlfn.SINGLE(INDEX(#REF!,pers_fixed_notes[[#This Row],[Row nr]],1))&lt;&gt;"",ISBLANK(_xlfn.SINGLE(INDEX(#REF!,pers_fixed_notes[[#This Row],[Row nr]],1)))),$B$54,"")</f>
        <v>#REF!</v>
      </c>
    </row>
    <row r="206" spans="1:8" hidden="1" outlineLevel="2" x14ac:dyDescent="0.3">
      <c r="A206" s="268">
        <v>76</v>
      </c>
      <c r="B206" s="111" t="str" cm="1">
        <f t="array" aca="1" ref="B206" ca="1">IFERROR(INDEX(pers_fixed_notes[[#This Row],[Empty lines]:[Name organisation not provided]],1,MATCH(TRUE,LEN(pers_fixed_notes[[#This Row],[Empty lines]:[Name organisation not provided]])&gt;0,0)),"")</f>
        <v/>
      </c>
      <c r="C206" s="111" t="str">
        <f>IFERROR(IF(AND(empty_lines="no",LEN(_xlfn.SINGLE(INDEX(#REF!,pers_fixed_notes[[#This Row],[Row nr]])))=0,LEN(_xlfn.SINGLE(INDEX(#REF!,pers_fixed_notes[[#This Row],[Row nr]]+1)))&gt;0),$B$36,""),"")</f>
        <v/>
      </c>
      <c r="D206" s="111" t="e" cm="1">
        <f t="array" ref="D206">IF(AND(LEN(INDEX(#REF!,pers_fixed_notes[[#This Row],[Row nr]],1))=0,LEN(INDEX(#REF!,pers_fixed_notes[[#This Row],[Row nr]],1))&gt;0),checks!$B$74,"")</f>
        <v>#REF!</v>
      </c>
      <c r="E206" s="111" t="e" cm="1">
        <f t="array" ref="E206">IF(AND(LEN(INDEX(#REF!,pers_fixed_notes[[#This Row],[Row nr]],1))&gt;0,#REF!&gt;pers_fixed_max_amount),checks!$B$72,"")</f>
        <v>#REF!</v>
      </c>
      <c r="F206" s="111" t="e" cm="1">
        <f t="array" aca="1" ref="F206" ca="1">IF(AND(LEN(INDEX(#REF!,pers_fixed_notes[[#This Row],[Row nr]],1))&gt;0,#REF!&gt;pers_fixed_max_perc*Total_NWO_funding),checks!$B$73,"")</f>
        <v>#REF!</v>
      </c>
      <c r="G206" s="111" t="e">
        <f>IF(AND(organisation_type="yes",_xlfn.SINGLE(INDEX(#REF!,pers_fixed_notes[[#This Row],[Row nr]],1))&lt;&gt;"",ISBLANK(_xlfn.SINGLE(INDEX(#REF!,pers_fixed_notes[[#This Row],[Row nr]],1)))),$B$53,"")</f>
        <v>#REF!</v>
      </c>
      <c r="H206" s="111" t="e">
        <f>IF(AND(organisation_name="yes",_xlfn.SINGLE(INDEX(#REF!,pers_fixed_notes[[#This Row],[Row nr]],1))&lt;&gt;"",ISBLANK(_xlfn.SINGLE(INDEX(#REF!,pers_fixed_notes[[#This Row],[Row nr]],1)))),$B$54,"")</f>
        <v>#REF!</v>
      </c>
    </row>
    <row r="207" spans="1:8" hidden="1" outlineLevel="2" x14ac:dyDescent="0.3">
      <c r="A207" s="266">
        <v>77</v>
      </c>
      <c r="B207" s="111" t="str" cm="1">
        <f t="array" aca="1" ref="B207" ca="1">IFERROR(INDEX(pers_fixed_notes[[#This Row],[Empty lines]:[Name organisation not provided]],1,MATCH(TRUE,LEN(pers_fixed_notes[[#This Row],[Empty lines]:[Name organisation not provided]])&gt;0,0)),"")</f>
        <v/>
      </c>
      <c r="C207" s="111" t="str">
        <f>IFERROR(IF(AND(empty_lines="no",LEN(_xlfn.SINGLE(INDEX(#REF!,pers_fixed_notes[[#This Row],[Row nr]])))=0,LEN(_xlfn.SINGLE(INDEX(#REF!,pers_fixed_notes[[#This Row],[Row nr]]+1)))&gt;0),$B$36,""),"")</f>
        <v/>
      </c>
      <c r="D207" s="111" t="e" cm="1">
        <f t="array" ref="D207">IF(AND(LEN(INDEX(#REF!,pers_fixed_notes[[#This Row],[Row nr]],1))=0,LEN(INDEX(#REF!,pers_fixed_notes[[#This Row],[Row nr]],1))&gt;0),checks!$B$74,"")</f>
        <v>#REF!</v>
      </c>
      <c r="E207" s="111" t="e" cm="1">
        <f t="array" ref="E207">IF(AND(LEN(INDEX(#REF!,pers_fixed_notes[[#This Row],[Row nr]],1))&gt;0,#REF!&gt;pers_fixed_max_amount),checks!$B$72,"")</f>
        <v>#REF!</v>
      </c>
      <c r="F207" s="111" t="e" cm="1">
        <f t="array" aca="1" ref="F207" ca="1">IF(AND(LEN(INDEX(#REF!,pers_fixed_notes[[#This Row],[Row nr]],1))&gt;0,#REF!&gt;pers_fixed_max_perc*Total_NWO_funding),checks!$B$73,"")</f>
        <v>#REF!</v>
      </c>
      <c r="G207" s="111" t="e">
        <f>IF(AND(organisation_type="yes",_xlfn.SINGLE(INDEX(#REF!,pers_fixed_notes[[#This Row],[Row nr]],1))&lt;&gt;"",ISBLANK(_xlfn.SINGLE(INDEX(#REF!,pers_fixed_notes[[#This Row],[Row nr]],1)))),$B$53,"")</f>
        <v>#REF!</v>
      </c>
      <c r="H207" s="111" t="e">
        <f>IF(AND(organisation_name="yes",_xlfn.SINGLE(INDEX(#REF!,pers_fixed_notes[[#This Row],[Row nr]],1))&lt;&gt;"",ISBLANK(_xlfn.SINGLE(INDEX(#REF!,pers_fixed_notes[[#This Row],[Row nr]],1)))),$B$54,"")</f>
        <v>#REF!</v>
      </c>
    </row>
    <row r="208" spans="1:8" hidden="1" outlineLevel="2" x14ac:dyDescent="0.3">
      <c r="A208" s="268">
        <v>78</v>
      </c>
      <c r="B208" s="111" t="str" cm="1">
        <f t="array" aca="1" ref="B208" ca="1">IFERROR(INDEX(pers_fixed_notes[[#This Row],[Empty lines]:[Name organisation not provided]],1,MATCH(TRUE,LEN(pers_fixed_notes[[#This Row],[Empty lines]:[Name organisation not provided]])&gt;0,0)),"")</f>
        <v/>
      </c>
      <c r="C208" s="111" t="str">
        <f>IFERROR(IF(AND(empty_lines="no",LEN(_xlfn.SINGLE(INDEX(#REF!,pers_fixed_notes[[#This Row],[Row nr]])))=0,LEN(_xlfn.SINGLE(INDEX(#REF!,pers_fixed_notes[[#This Row],[Row nr]]+1)))&gt;0),$B$36,""),"")</f>
        <v/>
      </c>
      <c r="D208" s="111" t="e" cm="1">
        <f t="array" ref="D208">IF(AND(LEN(INDEX(#REF!,pers_fixed_notes[[#This Row],[Row nr]],1))=0,LEN(INDEX(#REF!,pers_fixed_notes[[#This Row],[Row nr]],1))&gt;0),checks!$B$74,"")</f>
        <v>#REF!</v>
      </c>
      <c r="E208" s="111" t="e" cm="1">
        <f t="array" ref="E208">IF(AND(LEN(INDEX(#REF!,pers_fixed_notes[[#This Row],[Row nr]],1))&gt;0,#REF!&gt;pers_fixed_max_amount),checks!$B$72,"")</f>
        <v>#REF!</v>
      </c>
      <c r="F208" s="111" t="e" cm="1">
        <f t="array" aca="1" ref="F208" ca="1">IF(AND(LEN(INDEX(#REF!,pers_fixed_notes[[#This Row],[Row nr]],1))&gt;0,#REF!&gt;pers_fixed_max_perc*Total_NWO_funding),checks!$B$73,"")</f>
        <v>#REF!</v>
      </c>
      <c r="G208" s="111" t="e">
        <f>IF(AND(organisation_type="yes",_xlfn.SINGLE(INDEX(#REF!,pers_fixed_notes[[#This Row],[Row nr]],1))&lt;&gt;"",ISBLANK(_xlfn.SINGLE(INDEX(#REF!,pers_fixed_notes[[#This Row],[Row nr]],1)))),$B$53,"")</f>
        <v>#REF!</v>
      </c>
      <c r="H208" s="111" t="e">
        <f>IF(AND(organisation_name="yes",_xlfn.SINGLE(INDEX(#REF!,pers_fixed_notes[[#This Row],[Row nr]],1))&lt;&gt;"",ISBLANK(_xlfn.SINGLE(INDEX(#REF!,pers_fixed_notes[[#This Row],[Row nr]],1)))),$B$54,"")</f>
        <v>#REF!</v>
      </c>
    </row>
    <row r="209" spans="1:8" hidden="1" outlineLevel="2" x14ac:dyDescent="0.3">
      <c r="A209" s="266">
        <v>79</v>
      </c>
      <c r="B209" s="111" t="str" cm="1">
        <f t="array" aca="1" ref="B209" ca="1">IFERROR(INDEX(pers_fixed_notes[[#This Row],[Empty lines]:[Name organisation not provided]],1,MATCH(TRUE,LEN(pers_fixed_notes[[#This Row],[Empty lines]:[Name organisation not provided]])&gt;0,0)),"")</f>
        <v/>
      </c>
      <c r="C209" s="111" t="str">
        <f>IFERROR(IF(AND(empty_lines="no",LEN(_xlfn.SINGLE(INDEX(#REF!,pers_fixed_notes[[#This Row],[Row nr]])))=0,LEN(_xlfn.SINGLE(INDEX(#REF!,pers_fixed_notes[[#This Row],[Row nr]]+1)))&gt;0),$B$36,""),"")</f>
        <v/>
      </c>
      <c r="D209" s="111" t="e" cm="1">
        <f t="array" ref="D209">IF(AND(LEN(INDEX(#REF!,pers_fixed_notes[[#This Row],[Row nr]],1))=0,LEN(INDEX(#REF!,pers_fixed_notes[[#This Row],[Row nr]],1))&gt;0),checks!$B$74,"")</f>
        <v>#REF!</v>
      </c>
      <c r="E209" s="111" t="e" cm="1">
        <f t="array" ref="E209">IF(AND(LEN(INDEX(#REF!,pers_fixed_notes[[#This Row],[Row nr]],1))&gt;0,#REF!&gt;pers_fixed_max_amount),checks!$B$72,"")</f>
        <v>#REF!</v>
      </c>
      <c r="F209" s="111" t="e" cm="1">
        <f t="array" aca="1" ref="F209" ca="1">IF(AND(LEN(INDEX(#REF!,pers_fixed_notes[[#This Row],[Row nr]],1))&gt;0,#REF!&gt;pers_fixed_max_perc*Total_NWO_funding),checks!$B$73,"")</f>
        <v>#REF!</v>
      </c>
      <c r="G209" s="111" t="e">
        <f>IF(AND(organisation_type="yes",_xlfn.SINGLE(INDEX(#REF!,pers_fixed_notes[[#This Row],[Row nr]],1))&lt;&gt;"",ISBLANK(_xlfn.SINGLE(INDEX(#REF!,pers_fixed_notes[[#This Row],[Row nr]],1)))),$B$53,"")</f>
        <v>#REF!</v>
      </c>
      <c r="H209" s="111" t="e">
        <f>IF(AND(organisation_name="yes",_xlfn.SINGLE(INDEX(#REF!,pers_fixed_notes[[#This Row],[Row nr]],1))&lt;&gt;"",ISBLANK(_xlfn.SINGLE(INDEX(#REF!,pers_fixed_notes[[#This Row],[Row nr]],1)))),$B$54,"")</f>
        <v>#REF!</v>
      </c>
    </row>
    <row r="210" spans="1:8" hidden="1" outlineLevel="2" x14ac:dyDescent="0.3">
      <c r="A210" s="268">
        <v>80</v>
      </c>
      <c r="B210" s="111" t="str" cm="1">
        <f t="array" aca="1" ref="B210" ca="1">IFERROR(INDEX(pers_fixed_notes[[#This Row],[Empty lines]:[Name organisation not provided]],1,MATCH(TRUE,LEN(pers_fixed_notes[[#This Row],[Empty lines]:[Name organisation not provided]])&gt;0,0)),"")</f>
        <v/>
      </c>
      <c r="C210" s="111" t="str">
        <f>IFERROR(IF(AND(empty_lines="no",LEN(_xlfn.SINGLE(INDEX(#REF!,pers_fixed_notes[[#This Row],[Row nr]])))=0,LEN(_xlfn.SINGLE(INDEX(#REF!,pers_fixed_notes[[#This Row],[Row nr]]+1)))&gt;0),$B$36,""),"")</f>
        <v/>
      </c>
      <c r="D210" s="111" t="e" cm="1">
        <f t="array" ref="D210">IF(AND(LEN(INDEX(#REF!,pers_fixed_notes[[#This Row],[Row nr]],1))=0,LEN(INDEX(#REF!,pers_fixed_notes[[#This Row],[Row nr]],1))&gt;0),checks!$B$74,"")</f>
        <v>#REF!</v>
      </c>
      <c r="E210" s="111" t="e" cm="1">
        <f t="array" ref="E210">IF(AND(LEN(INDEX(#REF!,pers_fixed_notes[[#This Row],[Row nr]],1))&gt;0,#REF!&gt;pers_fixed_max_amount),checks!$B$72,"")</f>
        <v>#REF!</v>
      </c>
      <c r="F210" s="111" t="e" cm="1">
        <f t="array" aca="1" ref="F210" ca="1">IF(AND(LEN(INDEX(#REF!,pers_fixed_notes[[#This Row],[Row nr]],1))&gt;0,#REF!&gt;pers_fixed_max_perc*Total_NWO_funding),checks!$B$73,"")</f>
        <v>#REF!</v>
      </c>
      <c r="G210" s="111" t="e">
        <f>IF(AND(organisation_type="yes",_xlfn.SINGLE(INDEX(#REF!,pers_fixed_notes[[#This Row],[Row nr]],1))&lt;&gt;"",ISBLANK(_xlfn.SINGLE(INDEX(#REF!,pers_fixed_notes[[#This Row],[Row nr]],1)))),$B$53,"")</f>
        <v>#REF!</v>
      </c>
      <c r="H210" s="111" t="e">
        <f>IF(AND(organisation_name="yes",_xlfn.SINGLE(INDEX(#REF!,pers_fixed_notes[[#This Row],[Row nr]],1))&lt;&gt;"",ISBLANK(_xlfn.SINGLE(INDEX(#REF!,pers_fixed_notes[[#This Row],[Row nr]],1)))),$B$54,"")</f>
        <v>#REF!</v>
      </c>
    </row>
    <row r="211" spans="1:8" hidden="1" outlineLevel="2" x14ac:dyDescent="0.3">
      <c r="A211" s="266">
        <v>81</v>
      </c>
      <c r="B211" s="111" t="str" cm="1">
        <f t="array" aca="1" ref="B211" ca="1">IFERROR(INDEX(pers_fixed_notes[[#This Row],[Empty lines]:[Name organisation not provided]],1,MATCH(TRUE,LEN(pers_fixed_notes[[#This Row],[Empty lines]:[Name organisation not provided]])&gt;0,0)),"")</f>
        <v/>
      </c>
      <c r="C211" s="111" t="str">
        <f>IFERROR(IF(AND(empty_lines="no",LEN(_xlfn.SINGLE(INDEX(#REF!,pers_fixed_notes[[#This Row],[Row nr]])))=0,LEN(_xlfn.SINGLE(INDEX(#REF!,pers_fixed_notes[[#This Row],[Row nr]]+1)))&gt;0),$B$36,""),"")</f>
        <v/>
      </c>
      <c r="D211" s="111" t="e" cm="1">
        <f t="array" ref="D211">IF(AND(LEN(INDEX(#REF!,pers_fixed_notes[[#This Row],[Row nr]],1))=0,LEN(INDEX(#REF!,pers_fixed_notes[[#This Row],[Row nr]],1))&gt;0),checks!$B$74,"")</f>
        <v>#REF!</v>
      </c>
      <c r="E211" s="111" t="e" cm="1">
        <f t="array" ref="E211">IF(AND(LEN(INDEX(#REF!,pers_fixed_notes[[#This Row],[Row nr]],1))&gt;0,#REF!&gt;pers_fixed_max_amount),checks!$B$72,"")</f>
        <v>#REF!</v>
      </c>
      <c r="F211" s="111" t="e" cm="1">
        <f t="array" aca="1" ref="F211" ca="1">IF(AND(LEN(INDEX(#REF!,pers_fixed_notes[[#This Row],[Row nr]],1))&gt;0,#REF!&gt;pers_fixed_max_perc*Total_NWO_funding),checks!$B$73,"")</f>
        <v>#REF!</v>
      </c>
      <c r="G211" s="111" t="e">
        <f>IF(AND(organisation_type="yes",_xlfn.SINGLE(INDEX(#REF!,pers_fixed_notes[[#This Row],[Row nr]],1))&lt;&gt;"",ISBLANK(_xlfn.SINGLE(INDEX(#REF!,pers_fixed_notes[[#This Row],[Row nr]],1)))),$B$53,"")</f>
        <v>#REF!</v>
      </c>
      <c r="H211" s="111" t="e">
        <f>IF(AND(organisation_name="yes",_xlfn.SINGLE(INDEX(#REF!,pers_fixed_notes[[#This Row],[Row nr]],1))&lt;&gt;"",ISBLANK(_xlfn.SINGLE(INDEX(#REF!,pers_fixed_notes[[#This Row],[Row nr]],1)))),$B$54,"")</f>
        <v>#REF!</v>
      </c>
    </row>
    <row r="212" spans="1:8" hidden="1" outlineLevel="2" x14ac:dyDescent="0.3">
      <c r="A212" s="268">
        <v>82</v>
      </c>
      <c r="B212" s="111" t="str" cm="1">
        <f t="array" aca="1" ref="B212" ca="1">IFERROR(INDEX(pers_fixed_notes[[#This Row],[Empty lines]:[Name organisation not provided]],1,MATCH(TRUE,LEN(pers_fixed_notes[[#This Row],[Empty lines]:[Name organisation not provided]])&gt;0,0)),"")</f>
        <v/>
      </c>
      <c r="C212" s="111" t="str">
        <f>IFERROR(IF(AND(empty_lines="no",LEN(_xlfn.SINGLE(INDEX(#REF!,pers_fixed_notes[[#This Row],[Row nr]])))=0,LEN(_xlfn.SINGLE(INDEX(#REF!,pers_fixed_notes[[#This Row],[Row nr]]+1)))&gt;0),$B$36,""),"")</f>
        <v/>
      </c>
      <c r="D212" s="111" t="e" cm="1">
        <f t="array" ref="D212">IF(AND(LEN(INDEX(#REF!,pers_fixed_notes[[#This Row],[Row nr]],1))=0,LEN(INDEX(#REF!,pers_fixed_notes[[#This Row],[Row nr]],1))&gt;0),checks!$B$74,"")</f>
        <v>#REF!</v>
      </c>
      <c r="E212" s="111" t="e" cm="1">
        <f t="array" ref="E212">IF(AND(LEN(INDEX(#REF!,pers_fixed_notes[[#This Row],[Row nr]],1))&gt;0,#REF!&gt;pers_fixed_max_amount),checks!$B$72,"")</f>
        <v>#REF!</v>
      </c>
      <c r="F212" s="111" t="e" cm="1">
        <f t="array" aca="1" ref="F212" ca="1">IF(AND(LEN(INDEX(#REF!,pers_fixed_notes[[#This Row],[Row nr]],1))&gt;0,#REF!&gt;pers_fixed_max_perc*Total_NWO_funding),checks!$B$73,"")</f>
        <v>#REF!</v>
      </c>
      <c r="G212" s="111" t="e">
        <f>IF(AND(organisation_type="yes",_xlfn.SINGLE(INDEX(#REF!,pers_fixed_notes[[#This Row],[Row nr]],1))&lt;&gt;"",ISBLANK(_xlfn.SINGLE(INDEX(#REF!,pers_fixed_notes[[#This Row],[Row nr]],1)))),$B$53,"")</f>
        <v>#REF!</v>
      </c>
      <c r="H212" s="111" t="e">
        <f>IF(AND(organisation_name="yes",_xlfn.SINGLE(INDEX(#REF!,pers_fixed_notes[[#This Row],[Row nr]],1))&lt;&gt;"",ISBLANK(_xlfn.SINGLE(INDEX(#REF!,pers_fixed_notes[[#This Row],[Row nr]],1)))),$B$54,"")</f>
        <v>#REF!</v>
      </c>
    </row>
    <row r="213" spans="1:8" hidden="1" outlineLevel="2" x14ac:dyDescent="0.3">
      <c r="A213" s="266">
        <v>83</v>
      </c>
      <c r="B213" s="111" t="str" cm="1">
        <f t="array" aca="1" ref="B213" ca="1">IFERROR(INDEX(pers_fixed_notes[[#This Row],[Empty lines]:[Name organisation not provided]],1,MATCH(TRUE,LEN(pers_fixed_notes[[#This Row],[Empty lines]:[Name organisation not provided]])&gt;0,0)),"")</f>
        <v/>
      </c>
      <c r="C213" s="111" t="str">
        <f>IFERROR(IF(AND(empty_lines="no",LEN(_xlfn.SINGLE(INDEX(#REF!,pers_fixed_notes[[#This Row],[Row nr]])))=0,LEN(_xlfn.SINGLE(INDEX(#REF!,pers_fixed_notes[[#This Row],[Row nr]]+1)))&gt;0),$B$36,""),"")</f>
        <v/>
      </c>
      <c r="D213" s="111" t="e" cm="1">
        <f t="array" ref="D213">IF(AND(LEN(INDEX(#REF!,pers_fixed_notes[[#This Row],[Row nr]],1))=0,LEN(INDEX(#REF!,pers_fixed_notes[[#This Row],[Row nr]],1))&gt;0),checks!$B$74,"")</f>
        <v>#REF!</v>
      </c>
      <c r="E213" s="111" t="e" cm="1">
        <f t="array" ref="E213">IF(AND(LEN(INDEX(#REF!,pers_fixed_notes[[#This Row],[Row nr]],1))&gt;0,#REF!&gt;pers_fixed_max_amount),checks!$B$72,"")</f>
        <v>#REF!</v>
      </c>
      <c r="F213" s="111" t="e" cm="1">
        <f t="array" aca="1" ref="F213" ca="1">IF(AND(LEN(INDEX(#REF!,pers_fixed_notes[[#This Row],[Row nr]],1))&gt;0,#REF!&gt;pers_fixed_max_perc*Total_NWO_funding),checks!$B$73,"")</f>
        <v>#REF!</v>
      </c>
      <c r="G213" s="111" t="e">
        <f>IF(AND(organisation_type="yes",_xlfn.SINGLE(INDEX(#REF!,pers_fixed_notes[[#This Row],[Row nr]],1))&lt;&gt;"",ISBLANK(_xlfn.SINGLE(INDEX(#REF!,pers_fixed_notes[[#This Row],[Row nr]],1)))),$B$53,"")</f>
        <v>#REF!</v>
      </c>
      <c r="H213" s="111" t="e">
        <f>IF(AND(organisation_name="yes",_xlfn.SINGLE(INDEX(#REF!,pers_fixed_notes[[#This Row],[Row nr]],1))&lt;&gt;"",ISBLANK(_xlfn.SINGLE(INDEX(#REF!,pers_fixed_notes[[#This Row],[Row nr]],1)))),$B$54,"")</f>
        <v>#REF!</v>
      </c>
    </row>
    <row r="214" spans="1:8" hidden="1" outlineLevel="2" x14ac:dyDescent="0.3">
      <c r="A214" s="268">
        <v>84</v>
      </c>
      <c r="B214" s="111" t="str" cm="1">
        <f t="array" aca="1" ref="B214" ca="1">IFERROR(INDEX(pers_fixed_notes[[#This Row],[Empty lines]:[Name organisation not provided]],1,MATCH(TRUE,LEN(pers_fixed_notes[[#This Row],[Empty lines]:[Name organisation not provided]])&gt;0,0)),"")</f>
        <v/>
      </c>
      <c r="C214" s="111" t="str">
        <f>IFERROR(IF(AND(empty_lines="no",LEN(_xlfn.SINGLE(INDEX(#REF!,pers_fixed_notes[[#This Row],[Row nr]])))=0,LEN(_xlfn.SINGLE(INDEX(#REF!,pers_fixed_notes[[#This Row],[Row nr]]+1)))&gt;0),$B$36,""),"")</f>
        <v/>
      </c>
      <c r="D214" s="111" t="e" cm="1">
        <f t="array" ref="D214">IF(AND(LEN(INDEX(#REF!,pers_fixed_notes[[#This Row],[Row nr]],1))=0,LEN(INDEX(#REF!,pers_fixed_notes[[#This Row],[Row nr]],1))&gt;0),checks!$B$74,"")</f>
        <v>#REF!</v>
      </c>
      <c r="E214" s="111" t="e" cm="1">
        <f t="array" ref="E214">IF(AND(LEN(INDEX(#REF!,pers_fixed_notes[[#This Row],[Row nr]],1))&gt;0,#REF!&gt;pers_fixed_max_amount),checks!$B$72,"")</f>
        <v>#REF!</v>
      </c>
      <c r="F214" s="111" t="e" cm="1">
        <f t="array" aca="1" ref="F214" ca="1">IF(AND(LEN(INDEX(#REF!,pers_fixed_notes[[#This Row],[Row nr]],1))&gt;0,#REF!&gt;pers_fixed_max_perc*Total_NWO_funding),checks!$B$73,"")</f>
        <v>#REF!</v>
      </c>
      <c r="G214" s="111" t="e">
        <f>IF(AND(organisation_type="yes",_xlfn.SINGLE(INDEX(#REF!,pers_fixed_notes[[#This Row],[Row nr]],1))&lt;&gt;"",ISBLANK(_xlfn.SINGLE(INDEX(#REF!,pers_fixed_notes[[#This Row],[Row nr]],1)))),$B$53,"")</f>
        <v>#REF!</v>
      </c>
      <c r="H214" s="111" t="e">
        <f>IF(AND(organisation_name="yes",_xlfn.SINGLE(INDEX(#REF!,pers_fixed_notes[[#This Row],[Row nr]],1))&lt;&gt;"",ISBLANK(_xlfn.SINGLE(INDEX(#REF!,pers_fixed_notes[[#This Row],[Row nr]],1)))),$B$54,"")</f>
        <v>#REF!</v>
      </c>
    </row>
    <row r="215" spans="1:8" hidden="1" outlineLevel="2" x14ac:dyDescent="0.3">
      <c r="A215" s="266">
        <v>85</v>
      </c>
      <c r="B215" s="111" t="str" cm="1">
        <f t="array" aca="1" ref="B215" ca="1">IFERROR(INDEX(pers_fixed_notes[[#This Row],[Empty lines]:[Name organisation not provided]],1,MATCH(TRUE,LEN(pers_fixed_notes[[#This Row],[Empty lines]:[Name organisation not provided]])&gt;0,0)),"")</f>
        <v/>
      </c>
      <c r="C215" s="111" t="str">
        <f>IFERROR(IF(AND(empty_lines="no",LEN(_xlfn.SINGLE(INDEX(#REF!,pers_fixed_notes[[#This Row],[Row nr]])))=0,LEN(_xlfn.SINGLE(INDEX(#REF!,pers_fixed_notes[[#This Row],[Row nr]]+1)))&gt;0),$B$36,""),"")</f>
        <v/>
      </c>
      <c r="D215" s="111" t="e" cm="1">
        <f t="array" ref="D215">IF(AND(LEN(INDEX(#REF!,pers_fixed_notes[[#This Row],[Row nr]],1))=0,LEN(INDEX(#REF!,pers_fixed_notes[[#This Row],[Row nr]],1))&gt;0),checks!$B$74,"")</f>
        <v>#REF!</v>
      </c>
      <c r="E215" s="111" t="e" cm="1">
        <f t="array" ref="E215">IF(AND(LEN(INDEX(#REF!,pers_fixed_notes[[#This Row],[Row nr]],1))&gt;0,#REF!&gt;pers_fixed_max_amount),checks!$B$72,"")</f>
        <v>#REF!</v>
      </c>
      <c r="F215" s="111" t="e" cm="1">
        <f t="array" aca="1" ref="F215" ca="1">IF(AND(LEN(INDEX(#REF!,pers_fixed_notes[[#This Row],[Row nr]],1))&gt;0,#REF!&gt;pers_fixed_max_perc*Total_NWO_funding),checks!$B$73,"")</f>
        <v>#REF!</v>
      </c>
      <c r="G215" s="111" t="e">
        <f>IF(AND(organisation_type="yes",_xlfn.SINGLE(INDEX(#REF!,pers_fixed_notes[[#This Row],[Row nr]],1))&lt;&gt;"",ISBLANK(_xlfn.SINGLE(INDEX(#REF!,pers_fixed_notes[[#This Row],[Row nr]],1)))),$B$53,"")</f>
        <v>#REF!</v>
      </c>
      <c r="H215" s="111" t="e">
        <f>IF(AND(organisation_name="yes",_xlfn.SINGLE(INDEX(#REF!,pers_fixed_notes[[#This Row],[Row nr]],1))&lt;&gt;"",ISBLANK(_xlfn.SINGLE(INDEX(#REF!,pers_fixed_notes[[#This Row],[Row nr]],1)))),$B$54,"")</f>
        <v>#REF!</v>
      </c>
    </row>
    <row r="216" spans="1:8" hidden="1" outlineLevel="2" x14ac:dyDescent="0.3">
      <c r="A216" s="268">
        <v>86</v>
      </c>
      <c r="B216" s="111" t="str" cm="1">
        <f t="array" aca="1" ref="B216" ca="1">IFERROR(INDEX(pers_fixed_notes[[#This Row],[Empty lines]:[Name organisation not provided]],1,MATCH(TRUE,LEN(pers_fixed_notes[[#This Row],[Empty lines]:[Name organisation not provided]])&gt;0,0)),"")</f>
        <v/>
      </c>
      <c r="C216" s="111" t="str">
        <f>IFERROR(IF(AND(empty_lines="no",LEN(_xlfn.SINGLE(INDEX(#REF!,pers_fixed_notes[[#This Row],[Row nr]])))=0,LEN(_xlfn.SINGLE(INDEX(#REF!,pers_fixed_notes[[#This Row],[Row nr]]+1)))&gt;0),$B$36,""),"")</f>
        <v/>
      </c>
      <c r="D216" s="111" t="e" cm="1">
        <f t="array" ref="D216">IF(AND(LEN(INDEX(#REF!,pers_fixed_notes[[#This Row],[Row nr]],1))=0,LEN(INDEX(#REF!,pers_fixed_notes[[#This Row],[Row nr]],1))&gt;0),checks!$B$74,"")</f>
        <v>#REF!</v>
      </c>
      <c r="E216" s="111" t="e" cm="1">
        <f t="array" ref="E216">IF(AND(LEN(INDEX(#REF!,pers_fixed_notes[[#This Row],[Row nr]],1))&gt;0,#REF!&gt;pers_fixed_max_amount),checks!$B$72,"")</f>
        <v>#REF!</v>
      </c>
      <c r="F216" s="111" t="e" cm="1">
        <f t="array" aca="1" ref="F216" ca="1">IF(AND(LEN(INDEX(#REF!,pers_fixed_notes[[#This Row],[Row nr]],1))&gt;0,#REF!&gt;pers_fixed_max_perc*Total_NWO_funding),checks!$B$73,"")</f>
        <v>#REF!</v>
      </c>
      <c r="G216" s="111" t="e">
        <f>IF(AND(organisation_type="yes",_xlfn.SINGLE(INDEX(#REF!,pers_fixed_notes[[#This Row],[Row nr]],1))&lt;&gt;"",ISBLANK(_xlfn.SINGLE(INDEX(#REF!,pers_fixed_notes[[#This Row],[Row nr]],1)))),$B$53,"")</f>
        <v>#REF!</v>
      </c>
      <c r="H216" s="111" t="e">
        <f>IF(AND(organisation_name="yes",_xlfn.SINGLE(INDEX(#REF!,pers_fixed_notes[[#This Row],[Row nr]],1))&lt;&gt;"",ISBLANK(_xlfn.SINGLE(INDEX(#REF!,pers_fixed_notes[[#This Row],[Row nr]],1)))),$B$54,"")</f>
        <v>#REF!</v>
      </c>
    </row>
    <row r="217" spans="1:8" hidden="1" outlineLevel="2" x14ac:dyDescent="0.3">
      <c r="A217" s="266">
        <v>87</v>
      </c>
      <c r="B217" s="111" t="str" cm="1">
        <f t="array" aca="1" ref="B217" ca="1">IFERROR(INDEX(pers_fixed_notes[[#This Row],[Empty lines]:[Name organisation not provided]],1,MATCH(TRUE,LEN(pers_fixed_notes[[#This Row],[Empty lines]:[Name organisation not provided]])&gt;0,0)),"")</f>
        <v/>
      </c>
      <c r="C217" s="111" t="str">
        <f>IFERROR(IF(AND(empty_lines="no",LEN(_xlfn.SINGLE(INDEX(#REF!,pers_fixed_notes[[#This Row],[Row nr]])))=0,LEN(_xlfn.SINGLE(INDEX(#REF!,pers_fixed_notes[[#This Row],[Row nr]]+1)))&gt;0),$B$36,""),"")</f>
        <v/>
      </c>
      <c r="D217" s="111" t="e" cm="1">
        <f t="array" ref="D217">IF(AND(LEN(INDEX(#REF!,pers_fixed_notes[[#This Row],[Row nr]],1))=0,LEN(INDEX(#REF!,pers_fixed_notes[[#This Row],[Row nr]],1))&gt;0),checks!$B$74,"")</f>
        <v>#REF!</v>
      </c>
      <c r="E217" s="111" t="e" cm="1">
        <f t="array" ref="E217">IF(AND(LEN(INDEX(#REF!,pers_fixed_notes[[#This Row],[Row nr]],1))&gt;0,#REF!&gt;pers_fixed_max_amount),checks!$B$72,"")</f>
        <v>#REF!</v>
      </c>
      <c r="F217" s="111" t="e" cm="1">
        <f t="array" aca="1" ref="F217" ca="1">IF(AND(LEN(INDEX(#REF!,pers_fixed_notes[[#This Row],[Row nr]],1))&gt;0,#REF!&gt;pers_fixed_max_perc*Total_NWO_funding),checks!$B$73,"")</f>
        <v>#REF!</v>
      </c>
      <c r="G217" s="111" t="e">
        <f>IF(AND(organisation_type="yes",_xlfn.SINGLE(INDEX(#REF!,pers_fixed_notes[[#This Row],[Row nr]],1))&lt;&gt;"",ISBLANK(_xlfn.SINGLE(INDEX(#REF!,pers_fixed_notes[[#This Row],[Row nr]],1)))),$B$53,"")</f>
        <v>#REF!</v>
      </c>
      <c r="H217" s="111" t="e">
        <f>IF(AND(organisation_name="yes",_xlfn.SINGLE(INDEX(#REF!,pers_fixed_notes[[#This Row],[Row nr]],1))&lt;&gt;"",ISBLANK(_xlfn.SINGLE(INDEX(#REF!,pers_fixed_notes[[#This Row],[Row nr]],1)))),$B$54,"")</f>
        <v>#REF!</v>
      </c>
    </row>
    <row r="218" spans="1:8" hidden="1" outlineLevel="2" x14ac:dyDescent="0.3">
      <c r="A218" s="268">
        <v>88</v>
      </c>
      <c r="B218" s="111" t="str" cm="1">
        <f t="array" aca="1" ref="B218" ca="1">IFERROR(INDEX(pers_fixed_notes[[#This Row],[Empty lines]:[Name organisation not provided]],1,MATCH(TRUE,LEN(pers_fixed_notes[[#This Row],[Empty lines]:[Name organisation not provided]])&gt;0,0)),"")</f>
        <v/>
      </c>
      <c r="C218" s="111" t="str">
        <f>IFERROR(IF(AND(empty_lines="no",LEN(_xlfn.SINGLE(INDEX(#REF!,pers_fixed_notes[[#This Row],[Row nr]])))=0,LEN(_xlfn.SINGLE(INDEX(#REF!,pers_fixed_notes[[#This Row],[Row nr]]+1)))&gt;0),$B$36,""),"")</f>
        <v/>
      </c>
      <c r="D218" s="111" t="e" cm="1">
        <f t="array" ref="D218">IF(AND(LEN(INDEX(#REF!,pers_fixed_notes[[#This Row],[Row nr]],1))=0,LEN(INDEX(#REF!,pers_fixed_notes[[#This Row],[Row nr]],1))&gt;0),checks!$B$74,"")</f>
        <v>#REF!</v>
      </c>
      <c r="E218" s="111" t="e" cm="1">
        <f t="array" ref="E218">IF(AND(LEN(INDEX(#REF!,pers_fixed_notes[[#This Row],[Row nr]],1))&gt;0,#REF!&gt;pers_fixed_max_amount),checks!$B$72,"")</f>
        <v>#REF!</v>
      </c>
      <c r="F218" s="111" t="e" cm="1">
        <f t="array" aca="1" ref="F218" ca="1">IF(AND(LEN(INDEX(#REF!,pers_fixed_notes[[#This Row],[Row nr]],1))&gt;0,#REF!&gt;pers_fixed_max_perc*Total_NWO_funding),checks!$B$73,"")</f>
        <v>#REF!</v>
      </c>
      <c r="G218" s="111" t="e">
        <f>IF(AND(organisation_type="yes",_xlfn.SINGLE(INDEX(#REF!,pers_fixed_notes[[#This Row],[Row nr]],1))&lt;&gt;"",ISBLANK(_xlfn.SINGLE(INDEX(#REF!,pers_fixed_notes[[#This Row],[Row nr]],1)))),$B$53,"")</f>
        <v>#REF!</v>
      </c>
      <c r="H218" s="111" t="e">
        <f>IF(AND(organisation_name="yes",_xlfn.SINGLE(INDEX(#REF!,pers_fixed_notes[[#This Row],[Row nr]],1))&lt;&gt;"",ISBLANK(_xlfn.SINGLE(INDEX(#REF!,pers_fixed_notes[[#This Row],[Row nr]],1)))),$B$54,"")</f>
        <v>#REF!</v>
      </c>
    </row>
    <row r="219" spans="1:8" hidden="1" outlineLevel="2" x14ac:dyDescent="0.3">
      <c r="A219" s="266">
        <v>89</v>
      </c>
      <c r="B219" s="111" t="str" cm="1">
        <f t="array" aca="1" ref="B219" ca="1">IFERROR(INDEX(pers_fixed_notes[[#This Row],[Empty lines]:[Name organisation not provided]],1,MATCH(TRUE,LEN(pers_fixed_notes[[#This Row],[Empty lines]:[Name organisation not provided]])&gt;0,0)),"")</f>
        <v/>
      </c>
      <c r="C219" s="111" t="str">
        <f>IFERROR(IF(AND(empty_lines="no",LEN(_xlfn.SINGLE(INDEX(#REF!,pers_fixed_notes[[#This Row],[Row nr]])))=0,LEN(_xlfn.SINGLE(INDEX(#REF!,pers_fixed_notes[[#This Row],[Row nr]]+1)))&gt;0),$B$36,""),"")</f>
        <v/>
      </c>
      <c r="D219" s="111" t="e" cm="1">
        <f t="array" ref="D219">IF(AND(LEN(INDEX(#REF!,pers_fixed_notes[[#This Row],[Row nr]],1))=0,LEN(INDEX(#REF!,pers_fixed_notes[[#This Row],[Row nr]],1))&gt;0),checks!$B$74,"")</f>
        <v>#REF!</v>
      </c>
      <c r="E219" s="111" t="e" cm="1">
        <f t="array" ref="E219">IF(AND(LEN(INDEX(#REF!,pers_fixed_notes[[#This Row],[Row nr]],1))&gt;0,#REF!&gt;pers_fixed_max_amount),checks!$B$72,"")</f>
        <v>#REF!</v>
      </c>
      <c r="F219" s="111" t="e" cm="1">
        <f t="array" aca="1" ref="F219" ca="1">IF(AND(LEN(INDEX(#REF!,pers_fixed_notes[[#This Row],[Row nr]],1))&gt;0,#REF!&gt;pers_fixed_max_perc*Total_NWO_funding),checks!$B$73,"")</f>
        <v>#REF!</v>
      </c>
      <c r="G219" s="111" t="e">
        <f>IF(AND(organisation_type="yes",_xlfn.SINGLE(INDEX(#REF!,pers_fixed_notes[[#This Row],[Row nr]],1))&lt;&gt;"",ISBLANK(_xlfn.SINGLE(INDEX(#REF!,pers_fixed_notes[[#This Row],[Row nr]],1)))),$B$53,"")</f>
        <v>#REF!</v>
      </c>
      <c r="H219" s="111" t="e">
        <f>IF(AND(organisation_name="yes",_xlfn.SINGLE(INDEX(#REF!,pers_fixed_notes[[#This Row],[Row nr]],1))&lt;&gt;"",ISBLANK(_xlfn.SINGLE(INDEX(#REF!,pers_fixed_notes[[#This Row],[Row nr]],1)))),$B$54,"")</f>
        <v>#REF!</v>
      </c>
    </row>
    <row r="220" spans="1:8" hidden="1" outlineLevel="2" x14ac:dyDescent="0.3">
      <c r="A220" s="268">
        <v>90</v>
      </c>
      <c r="B220" s="111" t="str" cm="1">
        <f t="array" aca="1" ref="B220" ca="1">IFERROR(INDEX(pers_fixed_notes[[#This Row],[Empty lines]:[Name organisation not provided]],1,MATCH(TRUE,LEN(pers_fixed_notes[[#This Row],[Empty lines]:[Name organisation not provided]])&gt;0,0)),"")</f>
        <v/>
      </c>
      <c r="C220" s="111" t="str">
        <f>IFERROR(IF(AND(empty_lines="no",LEN(_xlfn.SINGLE(INDEX(#REF!,pers_fixed_notes[[#This Row],[Row nr]])))=0,LEN(_xlfn.SINGLE(INDEX(#REF!,pers_fixed_notes[[#This Row],[Row nr]]+1)))&gt;0),$B$36,""),"")</f>
        <v/>
      </c>
      <c r="D220" s="111" t="e" cm="1">
        <f t="array" ref="D220">IF(AND(LEN(INDEX(#REF!,pers_fixed_notes[[#This Row],[Row nr]],1))=0,LEN(INDEX(#REF!,pers_fixed_notes[[#This Row],[Row nr]],1))&gt;0),checks!$B$74,"")</f>
        <v>#REF!</v>
      </c>
      <c r="E220" s="111" t="e" cm="1">
        <f t="array" ref="E220">IF(AND(LEN(INDEX(#REF!,pers_fixed_notes[[#This Row],[Row nr]],1))&gt;0,#REF!&gt;pers_fixed_max_amount),checks!$B$72,"")</f>
        <v>#REF!</v>
      </c>
      <c r="F220" s="111" t="e" cm="1">
        <f t="array" aca="1" ref="F220" ca="1">IF(AND(LEN(INDEX(#REF!,pers_fixed_notes[[#This Row],[Row nr]],1))&gt;0,#REF!&gt;pers_fixed_max_perc*Total_NWO_funding),checks!$B$73,"")</f>
        <v>#REF!</v>
      </c>
      <c r="G220" s="111" t="e">
        <f>IF(AND(organisation_type="yes",_xlfn.SINGLE(INDEX(#REF!,pers_fixed_notes[[#This Row],[Row nr]],1))&lt;&gt;"",ISBLANK(_xlfn.SINGLE(INDEX(#REF!,pers_fixed_notes[[#This Row],[Row nr]],1)))),$B$53,"")</f>
        <v>#REF!</v>
      </c>
      <c r="H220" s="111" t="e">
        <f>IF(AND(organisation_name="yes",_xlfn.SINGLE(INDEX(#REF!,pers_fixed_notes[[#This Row],[Row nr]],1))&lt;&gt;"",ISBLANK(_xlfn.SINGLE(INDEX(#REF!,pers_fixed_notes[[#This Row],[Row nr]],1)))),$B$54,"")</f>
        <v>#REF!</v>
      </c>
    </row>
    <row r="221" spans="1:8" hidden="1" outlineLevel="2" x14ac:dyDescent="0.3">
      <c r="A221" s="266">
        <v>91</v>
      </c>
      <c r="B221" s="111" t="str" cm="1">
        <f t="array" aca="1" ref="B221" ca="1">IFERROR(INDEX(pers_fixed_notes[[#This Row],[Empty lines]:[Name organisation not provided]],1,MATCH(TRUE,LEN(pers_fixed_notes[[#This Row],[Empty lines]:[Name organisation not provided]])&gt;0,0)),"")</f>
        <v/>
      </c>
      <c r="C221" s="111" t="str">
        <f>IFERROR(IF(AND(empty_lines="no",LEN(_xlfn.SINGLE(INDEX(#REF!,pers_fixed_notes[[#This Row],[Row nr]])))=0,LEN(_xlfn.SINGLE(INDEX(#REF!,pers_fixed_notes[[#This Row],[Row nr]]+1)))&gt;0),$B$36,""),"")</f>
        <v/>
      </c>
      <c r="D221" s="111" t="e" cm="1">
        <f t="array" ref="D221">IF(AND(LEN(INDEX(#REF!,pers_fixed_notes[[#This Row],[Row nr]],1))=0,LEN(INDEX(#REF!,pers_fixed_notes[[#This Row],[Row nr]],1))&gt;0),checks!$B$74,"")</f>
        <v>#REF!</v>
      </c>
      <c r="E221" s="111" t="e" cm="1">
        <f t="array" ref="E221">IF(AND(LEN(INDEX(#REF!,pers_fixed_notes[[#This Row],[Row nr]],1))&gt;0,#REF!&gt;pers_fixed_max_amount),checks!$B$72,"")</f>
        <v>#REF!</v>
      </c>
      <c r="F221" s="111" t="e" cm="1">
        <f t="array" aca="1" ref="F221" ca="1">IF(AND(LEN(INDEX(#REF!,pers_fixed_notes[[#This Row],[Row nr]],1))&gt;0,#REF!&gt;pers_fixed_max_perc*Total_NWO_funding),checks!$B$73,"")</f>
        <v>#REF!</v>
      </c>
      <c r="G221" s="111" t="e">
        <f>IF(AND(organisation_type="yes",_xlfn.SINGLE(INDEX(#REF!,pers_fixed_notes[[#This Row],[Row nr]],1))&lt;&gt;"",ISBLANK(_xlfn.SINGLE(INDEX(#REF!,pers_fixed_notes[[#This Row],[Row nr]],1)))),$B$53,"")</f>
        <v>#REF!</v>
      </c>
      <c r="H221" s="111" t="e">
        <f>IF(AND(organisation_name="yes",_xlfn.SINGLE(INDEX(#REF!,pers_fixed_notes[[#This Row],[Row nr]],1))&lt;&gt;"",ISBLANK(_xlfn.SINGLE(INDEX(#REF!,pers_fixed_notes[[#This Row],[Row nr]],1)))),$B$54,"")</f>
        <v>#REF!</v>
      </c>
    </row>
    <row r="222" spans="1:8" hidden="1" outlineLevel="2" x14ac:dyDescent="0.3">
      <c r="A222" s="268">
        <v>92</v>
      </c>
      <c r="B222" s="111" t="str" cm="1">
        <f t="array" aca="1" ref="B222" ca="1">IFERROR(INDEX(pers_fixed_notes[[#This Row],[Empty lines]:[Name organisation not provided]],1,MATCH(TRUE,LEN(pers_fixed_notes[[#This Row],[Empty lines]:[Name organisation not provided]])&gt;0,0)),"")</f>
        <v/>
      </c>
      <c r="C222" s="111" t="str">
        <f>IFERROR(IF(AND(empty_lines="no",LEN(_xlfn.SINGLE(INDEX(#REF!,pers_fixed_notes[[#This Row],[Row nr]])))=0,LEN(_xlfn.SINGLE(INDEX(#REF!,pers_fixed_notes[[#This Row],[Row nr]]+1)))&gt;0),$B$36,""),"")</f>
        <v/>
      </c>
      <c r="D222" s="111" t="e" cm="1">
        <f t="array" ref="D222">IF(AND(LEN(INDEX(#REF!,pers_fixed_notes[[#This Row],[Row nr]],1))=0,LEN(INDEX(#REF!,pers_fixed_notes[[#This Row],[Row nr]],1))&gt;0),checks!$B$74,"")</f>
        <v>#REF!</v>
      </c>
      <c r="E222" s="111" t="e" cm="1">
        <f t="array" ref="E222">IF(AND(LEN(INDEX(#REF!,pers_fixed_notes[[#This Row],[Row nr]],1))&gt;0,#REF!&gt;pers_fixed_max_amount),checks!$B$72,"")</f>
        <v>#REF!</v>
      </c>
      <c r="F222" s="111" t="e" cm="1">
        <f t="array" aca="1" ref="F222" ca="1">IF(AND(LEN(INDEX(#REF!,pers_fixed_notes[[#This Row],[Row nr]],1))&gt;0,#REF!&gt;pers_fixed_max_perc*Total_NWO_funding),checks!$B$73,"")</f>
        <v>#REF!</v>
      </c>
      <c r="G222" s="111" t="e">
        <f>IF(AND(organisation_type="yes",_xlfn.SINGLE(INDEX(#REF!,pers_fixed_notes[[#This Row],[Row nr]],1))&lt;&gt;"",ISBLANK(_xlfn.SINGLE(INDEX(#REF!,pers_fixed_notes[[#This Row],[Row nr]],1)))),$B$53,"")</f>
        <v>#REF!</v>
      </c>
      <c r="H222" s="111" t="e">
        <f>IF(AND(organisation_name="yes",_xlfn.SINGLE(INDEX(#REF!,pers_fixed_notes[[#This Row],[Row nr]],1))&lt;&gt;"",ISBLANK(_xlfn.SINGLE(INDEX(#REF!,pers_fixed_notes[[#This Row],[Row nr]],1)))),$B$54,"")</f>
        <v>#REF!</v>
      </c>
    </row>
    <row r="223" spans="1:8" hidden="1" outlineLevel="2" x14ac:dyDescent="0.3">
      <c r="A223" s="266">
        <v>93</v>
      </c>
      <c r="B223" s="111" t="str" cm="1">
        <f t="array" aca="1" ref="B223" ca="1">IFERROR(INDEX(pers_fixed_notes[[#This Row],[Empty lines]:[Name organisation not provided]],1,MATCH(TRUE,LEN(pers_fixed_notes[[#This Row],[Empty lines]:[Name organisation not provided]])&gt;0,0)),"")</f>
        <v/>
      </c>
      <c r="C223" s="111" t="str">
        <f>IFERROR(IF(AND(empty_lines="no",LEN(_xlfn.SINGLE(INDEX(#REF!,pers_fixed_notes[[#This Row],[Row nr]])))=0,LEN(_xlfn.SINGLE(INDEX(#REF!,pers_fixed_notes[[#This Row],[Row nr]]+1)))&gt;0),$B$36,""),"")</f>
        <v/>
      </c>
      <c r="D223" s="111" t="e" cm="1">
        <f t="array" ref="D223">IF(AND(LEN(INDEX(#REF!,pers_fixed_notes[[#This Row],[Row nr]],1))=0,LEN(INDEX(#REF!,pers_fixed_notes[[#This Row],[Row nr]],1))&gt;0),checks!$B$74,"")</f>
        <v>#REF!</v>
      </c>
      <c r="E223" s="111" t="e" cm="1">
        <f t="array" ref="E223">IF(AND(LEN(INDEX(#REF!,pers_fixed_notes[[#This Row],[Row nr]],1))&gt;0,#REF!&gt;pers_fixed_max_amount),checks!$B$72,"")</f>
        <v>#REF!</v>
      </c>
      <c r="F223" s="111" t="e" cm="1">
        <f t="array" aca="1" ref="F223" ca="1">IF(AND(LEN(INDEX(#REF!,pers_fixed_notes[[#This Row],[Row nr]],1))&gt;0,#REF!&gt;pers_fixed_max_perc*Total_NWO_funding),checks!$B$73,"")</f>
        <v>#REF!</v>
      </c>
      <c r="G223" s="111" t="e">
        <f>IF(AND(organisation_type="yes",_xlfn.SINGLE(INDEX(#REF!,pers_fixed_notes[[#This Row],[Row nr]],1))&lt;&gt;"",ISBLANK(_xlfn.SINGLE(INDEX(#REF!,pers_fixed_notes[[#This Row],[Row nr]],1)))),$B$53,"")</f>
        <v>#REF!</v>
      </c>
      <c r="H223" s="111" t="e">
        <f>IF(AND(organisation_name="yes",_xlfn.SINGLE(INDEX(#REF!,pers_fixed_notes[[#This Row],[Row nr]],1))&lt;&gt;"",ISBLANK(_xlfn.SINGLE(INDEX(#REF!,pers_fixed_notes[[#This Row],[Row nr]],1)))),$B$54,"")</f>
        <v>#REF!</v>
      </c>
    </row>
    <row r="224" spans="1:8" hidden="1" outlineLevel="2" x14ac:dyDescent="0.3">
      <c r="A224" s="268">
        <v>94</v>
      </c>
      <c r="B224" s="111" t="str" cm="1">
        <f t="array" aca="1" ref="B224" ca="1">IFERROR(INDEX(pers_fixed_notes[[#This Row],[Empty lines]:[Name organisation not provided]],1,MATCH(TRUE,LEN(pers_fixed_notes[[#This Row],[Empty lines]:[Name organisation not provided]])&gt;0,0)),"")</f>
        <v/>
      </c>
      <c r="C224" s="111" t="str">
        <f>IFERROR(IF(AND(empty_lines="no",LEN(_xlfn.SINGLE(INDEX(#REF!,pers_fixed_notes[[#This Row],[Row nr]])))=0,LEN(_xlfn.SINGLE(INDEX(#REF!,pers_fixed_notes[[#This Row],[Row nr]]+1)))&gt;0),$B$36,""),"")</f>
        <v/>
      </c>
      <c r="D224" s="111" t="e" cm="1">
        <f t="array" ref="D224">IF(AND(LEN(INDEX(#REF!,pers_fixed_notes[[#This Row],[Row nr]],1))=0,LEN(INDEX(#REF!,pers_fixed_notes[[#This Row],[Row nr]],1))&gt;0),checks!$B$74,"")</f>
        <v>#REF!</v>
      </c>
      <c r="E224" s="111" t="e" cm="1">
        <f t="array" ref="E224">IF(AND(LEN(INDEX(#REF!,pers_fixed_notes[[#This Row],[Row nr]],1))&gt;0,#REF!&gt;pers_fixed_max_amount),checks!$B$72,"")</f>
        <v>#REF!</v>
      </c>
      <c r="F224" s="111" t="e" cm="1">
        <f t="array" aca="1" ref="F224" ca="1">IF(AND(LEN(INDEX(#REF!,pers_fixed_notes[[#This Row],[Row nr]],1))&gt;0,#REF!&gt;pers_fixed_max_perc*Total_NWO_funding),checks!$B$73,"")</f>
        <v>#REF!</v>
      </c>
      <c r="G224" s="111" t="e">
        <f>IF(AND(organisation_type="yes",_xlfn.SINGLE(INDEX(#REF!,pers_fixed_notes[[#This Row],[Row nr]],1))&lt;&gt;"",ISBLANK(_xlfn.SINGLE(INDEX(#REF!,pers_fixed_notes[[#This Row],[Row nr]],1)))),$B$53,"")</f>
        <v>#REF!</v>
      </c>
      <c r="H224" s="111" t="e">
        <f>IF(AND(organisation_name="yes",_xlfn.SINGLE(INDEX(#REF!,pers_fixed_notes[[#This Row],[Row nr]],1))&lt;&gt;"",ISBLANK(_xlfn.SINGLE(INDEX(#REF!,pers_fixed_notes[[#This Row],[Row nr]],1)))),$B$54,"")</f>
        <v>#REF!</v>
      </c>
    </row>
    <row r="225" spans="1:11" hidden="1" outlineLevel="2" x14ac:dyDescent="0.3">
      <c r="A225" s="266">
        <v>95</v>
      </c>
      <c r="B225" s="111" t="str" cm="1">
        <f t="array" aca="1" ref="B225" ca="1">IFERROR(INDEX(pers_fixed_notes[[#This Row],[Empty lines]:[Name organisation not provided]],1,MATCH(TRUE,LEN(pers_fixed_notes[[#This Row],[Empty lines]:[Name organisation not provided]])&gt;0,0)),"")</f>
        <v/>
      </c>
      <c r="C225" s="111" t="str">
        <f>IFERROR(IF(AND(empty_lines="no",LEN(_xlfn.SINGLE(INDEX(#REF!,pers_fixed_notes[[#This Row],[Row nr]])))=0,LEN(_xlfn.SINGLE(INDEX(#REF!,pers_fixed_notes[[#This Row],[Row nr]]+1)))&gt;0),$B$36,""),"")</f>
        <v/>
      </c>
      <c r="D225" s="111" t="e" cm="1">
        <f t="array" ref="D225">IF(AND(LEN(INDEX(#REF!,pers_fixed_notes[[#This Row],[Row nr]],1))=0,LEN(INDEX(#REF!,pers_fixed_notes[[#This Row],[Row nr]],1))&gt;0),checks!$B$74,"")</f>
        <v>#REF!</v>
      </c>
      <c r="E225" s="111" t="e" cm="1">
        <f t="array" ref="E225">IF(AND(LEN(INDEX(#REF!,pers_fixed_notes[[#This Row],[Row nr]],1))&gt;0,#REF!&gt;pers_fixed_max_amount),checks!$B$72,"")</f>
        <v>#REF!</v>
      </c>
      <c r="F225" s="111" t="e" cm="1">
        <f t="array" aca="1" ref="F225" ca="1">IF(AND(LEN(INDEX(#REF!,pers_fixed_notes[[#This Row],[Row nr]],1))&gt;0,#REF!&gt;pers_fixed_max_perc*Total_NWO_funding),checks!$B$73,"")</f>
        <v>#REF!</v>
      </c>
      <c r="G225" s="111" t="e">
        <f>IF(AND(organisation_type="yes",_xlfn.SINGLE(INDEX(#REF!,pers_fixed_notes[[#This Row],[Row nr]],1))&lt;&gt;"",ISBLANK(_xlfn.SINGLE(INDEX(#REF!,pers_fixed_notes[[#This Row],[Row nr]],1)))),$B$53,"")</f>
        <v>#REF!</v>
      </c>
      <c r="H225" s="111" t="e">
        <f>IF(AND(organisation_name="yes",_xlfn.SINGLE(INDEX(#REF!,pers_fixed_notes[[#This Row],[Row nr]],1))&lt;&gt;"",ISBLANK(_xlfn.SINGLE(INDEX(#REF!,pers_fixed_notes[[#This Row],[Row nr]],1)))),$B$54,"")</f>
        <v>#REF!</v>
      </c>
    </row>
    <row r="226" spans="1:11" hidden="1" outlineLevel="2" x14ac:dyDescent="0.3">
      <c r="A226" s="268">
        <v>96</v>
      </c>
      <c r="B226" s="111" t="str" cm="1">
        <f t="array" aca="1" ref="B226" ca="1">IFERROR(INDEX(pers_fixed_notes[[#This Row],[Empty lines]:[Name organisation not provided]],1,MATCH(TRUE,LEN(pers_fixed_notes[[#This Row],[Empty lines]:[Name organisation not provided]])&gt;0,0)),"")</f>
        <v/>
      </c>
      <c r="C226" s="111" t="str">
        <f>IFERROR(IF(AND(empty_lines="no",LEN(_xlfn.SINGLE(INDEX(#REF!,pers_fixed_notes[[#This Row],[Row nr]])))=0,LEN(_xlfn.SINGLE(INDEX(#REF!,pers_fixed_notes[[#This Row],[Row nr]]+1)))&gt;0),$B$36,""),"")</f>
        <v/>
      </c>
      <c r="D226" s="111" t="e" cm="1">
        <f t="array" ref="D226">IF(AND(LEN(INDEX(#REF!,pers_fixed_notes[[#This Row],[Row nr]],1))=0,LEN(INDEX(#REF!,pers_fixed_notes[[#This Row],[Row nr]],1))&gt;0),checks!$B$74,"")</f>
        <v>#REF!</v>
      </c>
      <c r="E226" s="111" t="e" cm="1">
        <f t="array" ref="E226">IF(AND(LEN(INDEX(#REF!,pers_fixed_notes[[#This Row],[Row nr]],1))&gt;0,#REF!&gt;pers_fixed_max_amount),checks!$B$72,"")</f>
        <v>#REF!</v>
      </c>
      <c r="F226" s="111" t="e" cm="1">
        <f t="array" aca="1" ref="F226" ca="1">IF(AND(LEN(INDEX(#REF!,pers_fixed_notes[[#This Row],[Row nr]],1))&gt;0,#REF!&gt;pers_fixed_max_perc*Total_NWO_funding),checks!$B$73,"")</f>
        <v>#REF!</v>
      </c>
      <c r="G226" s="111" t="e">
        <f>IF(AND(organisation_type="yes",_xlfn.SINGLE(INDEX(#REF!,pers_fixed_notes[[#This Row],[Row nr]],1))&lt;&gt;"",ISBLANK(_xlfn.SINGLE(INDEX(#REF!,pers_fixed_notes[[#This Row],[Row nr]],1)))),$B$53,"")</f>
        <v>#REF!</v>
      </c>
      <c r="H226" s="111" t="e">
        <f>IF(AND(organisation_name="yes",_xlfn.SINGLE(INDEX(#REF!,pers_fixed_notes[[#This Row],[Row nr]],1))&lt;&gt;"",ISBLANK(_xlfn.SINGLE(INDEX(#REF!,pers_fixed_notes[[#This Row],[Row nr]],1)))),$B$54,"")</f>
        <v>#REF!</v>
      </c>
    </row>
    <row r="227" spans="1:11" hidden="1" outlineLevel="2" x14ac:dyDescent="0.3">
      <c r="A227" s="266">
        <v>97</v>
      </c>
      <c r="B227" s="111" t="str" cm="1">
        <f t="array" aca="1" ref="B227" ca="1">IFERROR(INDEX(pers_fixed_notes[[#This Row],[Empty lines]:[Name organisation not provided]],1,MATCH(TRUE,LEN(pers_fixed_notes[[#This Row],[Empty lines]:[Name organisation not provided]])&gt;0,0)),"")</f>
        <v/>
      </c>
      <c r="C227" s="111" t="str">
        <f>IFERROR(IF(AND(empty_lines="no",LEN(_xlfn.SINGLE(INDEX(#REF!,pers_fixed_notes[[#This Row],[Row nr]])))=0,LEN(_xlfn.SINGLE(INDEX(#REF!,pers_fixed_notes[[#This Row],[Row nr]]+1)))&gt;0),$B$36,""),"")</f>
        <v/>
      </c>
      <c r="D227" s="111" t="e" cm="1">
        <f t="array" ref="D227">IF(AND(LEN(INDEX(#REF!,pers_fixed_notes[[#This Row],[Row nr]],1))=0,LEN(INDEX(#REF!,pers_fixed_notes[[#This Row],[Row nr]],1))&gt;0),checks!$B$74,"")</f>
        <v>#REF!</v>
      </c>
      <c r="E227" s="111" t="e" cm="1">
        <f t="array" ref="E227">IF(AND(LEN(INDEX(#REF!,pers_fixed_notes[[#This Row],[Row nr]],1))&gt;0,#REF!&gt;pers_fixed_max_amount),checks!$B$72,"")</f>
        <v>#REF!</v>
      </c>
      <c r="F227" s="111" t="e" cm="1">
        <f t="array" aca="1" ref="F227" ca="1">IF(AND(LEN(INDEX(#REF!,pers_fixed_notes[[#This Row],[Row nr]],1))&gt;0,#REF!&gt;pers_fixed_max_perc*Total_NWO_funding),checks!$B$73,"")</f>
        <v>#REF!</v>
      </c>
      <c r="G227" s="111" t="e">
        <f>IF(AND(organisation_type="yes",_xlfn.SINGLE(INDEX(#REF!,pers_fixed_notes[[#This Row],[Row nr]],1))&lt;&gt;"",ISBLANK(_xlfn.SINGLE(INDEX(#REF!,pers_fixed_notes[[#This Row],[Row nr]],1)))),$B$53,"")</f>
        <v>#REF!</v>
      </c>
      <c r="H227" s="111" t="e">
        <f>IF(AND(organisation_name="yes",_xlfn.SINGLE(INDEX(#REF!,pers_fixed_notes[[#This Row],[Row nr]],1))&lt;&gt;"",ISBLANK(_xlfn.SINGLE(INDEX(#REF!,pers_fixed_notes[[#This Row],[Row nr]],1)))),$B$54,"")</f>
        <v>#REF!</v>
      </c>
    </row>
    <row r="228" spans="1:11" hidden="1" outlineLevel="2" x14ac:dyDescent="0.3">
      <c r="A228" s="268">
        <v>98</v>
      </c>
      <c r="B228" s="111" t="str" cm="1">
        <f t="array" aca="1" ref="B228" ca="1">IFERROR(INDEX(pers_fixed_notes[[#This Row],[Empty lines]:[Name organisation not provided]],1,MATCH(TRUE,LEN(pers_fixed_notes[[#This Row],[Empty lines]:[Name organisation not provided]])&gt;0,0)),"")</f>
        <v/>
      </c>
      <c r="C228" s="111" t="str">
        <f>IFERROR(IF(AND(empty_lines="no",LEN(_xlfn.SINGLE(INDEX(#REF!,pers_fixed_notes[[#This Row],[Row nr]])))=0,LEN(_xlfn.SINGLE(INDEX(#REF!,pers_fixed_notes[[#This Row],[Row nr]]+1)))&gt;0),$B$36,""),"")</f>
        <v/>
      </c>
      <c r="D228" s="111" t="e" cm="1">
        <f t="array" ref="D228">IF(AND(LEN(INDEX(#REF!,pers_fixed_notes[[#This Row],[Row nr]],1))=0,LEN(INDEX(#REF!,pers_fixed_notes[[#This Row],[Row nr]],1))&gt;0),checks!$B$74,"")</f>
        <v>#REF!</v>
      </c>
      <c r="E228" s="111" t="e" cm="1">
        <f t="array" ref="E228">IF(AND(LEN(INDEX(#REF!,pers_fixed_notes[[#This Row],[Row nr]],1))&gt;0,#REF!&gt;pers_fixed_max_amount),checks!$B$72,"")</f>
        <v>#REF!</v>
      </c>
      <c r="F228" s="111" t="e" cm="1">
        <f t="array" aca="1" ref="F228" ca="1">IF(AND(LEN(INDEX(#REF!,pers_fixed_notes[[#This Row],[Row nr]],1))&gt;0,#REF!&gt;pers_fixed_max_perc*Total_NWO_funding),checks!$B$73,"")</f>
        <v>#REF!</v>
      </c>
      <c r="G228" s="111" t="e">
        <f>IF(AND(organisation_type="yes",_xlfn.SINGLE(INDEX(#REF!,pers_fixed_notes[[#This Row],[Row nr]],1))&lt;&gt;"",ISBLANK(_xlfn.SINGLE(INDEX(#REF!,pers_fixed_notes[[#This Row],[Row nr]],1)))),$B$53,"")</f>
        <v>#REF!</v>
      </c>
      <c r="H228" s="111" t="e">
        <f>IF(AND(organisation_name="yes",_xlfn.SINGLE(INDEX(#REF!,pers_fixed_notes[[#This Row],[Row nr]],1))&lt;&gt;"",ISBLANK(_xlfn.SINGLE(INDEX(#REF!,pers_fixed_notes[[#This Row],[Row nr]],1)))),$B$54,"")</f>
        <v>#REF!</v>
      </c>
    </row>
    <row r="229" spans="1:11" hidden="1" outlineLevel="2" x14ac:dyDescent="0.3">
      <c r="A229" s="266">
        <v>99</v>
      </c>
      <c r="B229" s="111" t="str" cm="1">
        <f t="array" aca="1" ref="B229" ca="1">IFERROR(INDEX(pers_fixed_notes[[#This Row],[Empty lines]:[Name organisation not provided]],1,MATCH(TRUE,LEN(pers_fixed_notes[[#This Row],[Empty lines]:[Name organisation not provided]])&gt;0,0)),"")</f>
        <v/>
      </c>
      <c r="C229" s="111" t="str">
        <f>IFERROR(IF(AND(empty_lines="no",LEN(_xlfn.SINGLE(INDEX(#REF!,pers_fixed_notes[[#This Row],[Row nr]])))=0,LEN(_xlfn.SINGLE(INDEX(#REF!,pers_fixed_notes[[#This Row],[Row nr]]+1)))&gt;0),$B$36,""),"")</f>
        <v/>
      </c>
      <c r="D229" s="111" t="e" cm="1">
        <f t="array" ref="D229">IF(AND(LEN(INDEX(#REF!,pers_fixed_notes[[#This Row],[Row nr]],1))=0,LEN(INDEX(#REF!,pers_fixed_notes[[#This Row],[Row nr]],1))&gt;0),checks!$B$74,"")</f>
        <v>#REF!</v>
      </c>
      <c r="E229" s="111" t="e" cm="1">
        <f t="array" ref="E229">IF(AND(LEN(INDEX(#REF!,pers_fixed_notes[[#This Row],[Row nr]],1))&gt;0,#REF!&gt;pers_fixed_max_amount),checks!$B$72,"")</f>
        <v>#REF!</v>
      </c>
      <c r="F229" s="111" t="e" cm="1">
        <f t="array" aca="1" ref="F229" ca="1">IF(AND(LEN(INDEX(#REF!,pers_fixed_notes[[#This Row],[Row nr]],1))&gt;0,#REF!&gt;pers_fixed_max_perc*Total_NWO_funding),checks!$B$73,"")</f>
        <v>#REF!</v>
      </c>
      <c r="G229" s="111" t="e">
        <f>IF(AND(organisation_type="yes",_xlfn.SINGLE(INDEX(#REF!,pers_fixed_notes[[#This Row],[Row nr]],1))&lt;&gt;"",ISBLANK(_xlfn.SINGLE(INDEX(#REF!,pers_fixed_notes[[#This Row],[Row nr]],1)))),$B$53,"")</f>
        <v>#REF!</v>
      </c>
      <c r="H229" s="111" t="e">
        <f>IF(AND(organisation_name="yes",_xlfn.SINGLE(INDEX(#REF!,pers_fixed_notes[[#This Row],[Row nr]],1))&lt;&gt;"",ISBLANK(_xlfn.SINGLE(INDEX(#REF!,pers_fixed_notes[[#This Row],[Row nr]],1)))),$B$54,"")</f>
        <v>#REF!</v>
      </c>
    </row>
    <row r="230" spans="1:11" hidden="1" outlineLevel="2" x14ac:dyDescent="0.3">
      <c r="A230" s="268">
        <v>100</v>
      </c>
      <c r="B230" s="111" t="str" cm="1">
        <f t="array" aca="1" ref="B230" ca="1">IFERROR(INDEX(pers_fixed_notes[[#This Row],[Empty lines]:[Name organisation not provided]],1,MATCH(TRUE,LEN(pers_fixed_notes[[#This Row],[Empty lines]:[Name organisation not provided]])&gt;0,0)),"")</f>
        <v/>
      </c>
      <c r="C230" s="111" t="str">
        <f>IFERROR(IF(AND(empty_lines="no",LEN(_xlfn.SINGLE(INDEX(#REF!,pers_fixed_notes[[#This Row],[Row nr]])))=0,LEN(_xlfn.SINGLE(INDEX(#REF!,pers_fixed_notes[[#This Row],[Row nr]]+1)))&gt;0),$B$36,""),"")</f>
        <v/>
      </c>
      <c r="D230" s="111" t="e" cm="1">
        <f t="array" ref="D230">IF(AND(LEN(INDEX(#REF!,pers_fixed_notes[[#This Row],[Row nr]],1))=0,LEN(INDEX(#REF!,pers_fixed_notes[[#This Row],[Row nr]],1))&gt;0),checks!$B$74,"")</f>
        <v>#REF!</v>
      </c>
      <c r="E230" s="111" t="e" cm="1">
        <f t="array" ref="E230">IF(AND(LEN(INDEX(#REF!,pers_fixed_notes[[#This Row],[Row nr]],1))&gt;0,#REF!&gt;pers_fixed_max_amount),checks!$B$72,"")</f>
        <v>#REF!</v>
      </c>
      <c r="F230" s="111" t="e" cm="1">
        <f t="array" aca="1" ref="F230" ca="1">IF(AND(LEN(INDEX(#REF!,pers_fixed_notes[[#This Row],[Row nr]],1))&gt;0,#REF!&gt;pers_fixed_max_perc*Total_NWO_funding),checks!$B$73,"")</f>
        <v>#REF!</v>
      </c>
      <c r="G230" s="111" t="e">
        <f>IF(AND(organisation_type="yes",_xlfn.SINGLE(INDEX(#REF!,pers_fixed_notes[[#This Row],[Row nr]],1))&lt;&gt;"",ISBLANK(_xlfn.SINGLE(INDEX(#REF!,pers_fixed_notes[[#This Row],[Row nr]],1)))),$B$53,"")</f>
        <v>#REF!</v>
      </c>
      <c r="H230" s="111" t="e">
        <f>IF(AND(organisation_name="yes",_xlfn.SINGLE(INDEX(#REF!,pers_fixed_notes[[#This Row],[Row nr]],1))&lt;&gt;"",ISBLANK(_xlfn.SINGLE(INDEX(#REF!,pers_fixed_notes[[#This Row],[Row nr]],1)))),$B$54,"")</f>
        <v>#REF!</v>
      </c>
    </row>
    <row r="234" spans="1:11" ht="36" x14ac:dyDescent="0.3">
      <c r="A234" s="129" t="s">
        <v>624</v>
      </c>
    </row>
    <row r="235" spans="1:11" outlineLevel="1" x14ac:dyDescent="0.3">
      <c r="A235"/>
      <c r="B235"/>
      <c r="C235"/>
      <c r="D235"/>
      <c r="E235"/>
      <c r="F235"/>
      <c r="G235"/>
      <c r="H235"/>
      <c r="I235"/>
      <c r="J235"/>
      <c r="K235"/>
    </row>
    <row r="236" spans="1:11" outlineLevel="1" x14ac:dyDescent="0.3">
      <c r="A236"/>
      <c r="B236"/>
      <c r="C236"/>
      <c r="D236"/>
      <c r="E236"/>
      <c r="F236"/>
      <c r="G236"/>
      <c r="H236"/>
      <c r="I236"/>
      <c r="J236"/>
      <c r="K236"/>
    </row>
    <row r="237" spans="1:11" collapsed="1" x14ac:dyDescent="0.3"/>
    <row r="239" spans="1:11" ht="36" x14ac:dyDescent="0.3">
      <c r="A239" s="129" t="s">
        <v>625</v>
      </c>
    </row>
    <row r="240" spans="1:11" outlineLevel="1" x14ac:dyDescent="0.3">
      <c r="A240"/>
      <c r="B240"/>
      <c r="C240"/>
      <c r="D240"/>
      <c r="E240"/>
      <c r="F240"/>
      <c r="G240"/>
      <c r="H240"/>
      <c r="I240"/>
      <c r="J240"/>
      <c r="K240"/>
    </row>
    <row r="241" spans="1:11" outlineLevel="1" x14ac:dyDescent="0.3">
      <c r="A241"/>
      <c r="B241"/>
      <c r="C241"/>
      <c r="D241"/>
      <c r="E241"/>
      <c r="F241"/>
      <c r="G241"/>
      <c r="H241"/>
      <c r="I241"/>
      <c r="J241"/>
      <c r="K241"/>
    </row>
    <row r="242" spans="1:11" collapsed="1" x14ac:dyDescent="0.3"/>
    <row r="244" spans="1:11" ht="18" x14ac:dyDescent="0.35">
      <c r="A244" s="123" t="s">
        <v>748</v>
      </c>
    </row>
    <row r="245" spans="1:11" outlineLevel="1" x14ac:dyDescent="0.3">
      <c r="A245" s="217" t="s">
        <v>532</v>
      </c>
      <c r="B245" s="217" t="s">
        <v>536</v>
      </c>
      <c r="C245" s="111" t="s">
        <v>663</v>
      </c>
      <c r="D245" s="111" t="s">
        <v>599</v>
      </c>
      <c r="E245" s="111" t="s">
        <v>621</v>
      </c>
      <c r="F245" s="111" t="s">
        <v>754</v>
      </c>
      <c r="G245" s="111" t="s">
        <v>755</v>
      </c>
      <c r="H245" s="111" t="s">
        <v>751</v>
      </c>
      <c r="I245" s="111" t="s">
        <v>715</v>
      </c>
    </row>
    <row r="246" spans="1:11" outlineLevel="1" x14ac:dyDescent="0.3">
      <c r="A246" s="217">
        <v>1</v>
      </c>
      <c r="B246" s="217" t="str" cm="1">
        <f t="array" aca="1" ref="B246" ca="1">IFERROR(INDEX(materials_notes[[#This Row],[Empty line]:[Amount not specified]],1,MATCH(TRUE,LEN(materials_notes[[#This Row],[Empty line]:[Amount not specified]])&gt;0,0)),"")</f>
        <v/>
      </c>
      <c r="C246" s="111" t="str">
        <f>IFERROR(IF(AND(empty_lines="no",LEN(INDEX(materials[Description],materials_notes[[#This Row],[Row nr]]))=0,LEN(INDEX(materials[Description],materials_notes[[#This Row],[Row nr]]+1))&gt;0),$B$36,""),"")</f>
        <v/>
      </c>
      <c r="D246" s="111" t="str">
        <f>IF(AND(organisation_type="yes",LEN(INDEX(materials[Description],materials_notes[[#This Row],[Row nr]]))&gt;0,ISBLANK(INDEX(materials[Organisation type],materials_notes[[#This Row],[Row nr]]))),$B$53,"")</f>
        <v/>
      </c>
      <c r="E246" s="111" t="str">
        <f>IF(AND(organisation_name="yes",LEN(INDEX(materials[Description],materials_notes[[#This Row],[Row nr]]))&gt;0,LEN(INDEX(materials[Organisation type],materials_notes[[#This Row],[Row nr]]))&gt;0,ISBLANK(INDEX(materials[Name organisation],materials_notes[[#This Row],[Row nr]]))),$B$54,"")</f>
        <v/>
      </c>
      <c r="F246" s="111" t="str" cm="1">
        <f t="array" ref="F246">IF(AND(INDEX(materials[Amount],materials_notes[[#This Row],[Row nr]])&gt;0,SUM(materials[Amount])&gt;Mat_max_amount),$B$77,"")</f>
        <v/>
      </c>
      <c r="G246" s="111" t="str" cm="1">
        <f t="array" aca="1" ref="G246" ca="1">IF(AND(INDEX(materials[Amount],materials_notes[[#This Row],[Row nr]])&gt;0,SUM(materials[Amount])&gt;mat_maxperc_pers*Total_personnel_costs),$B$78,"")</f>
        <v/>
      </c>
      <c r="H246" s="111" t="str">
        <f>IF(AND(LEN(INDEX(materials[Description],materials_notes[[#This Row],[Row nr]]))&gt;0,INDEX(materials[Organisation type],materials_notes[[#This Row],[Row nr]])=pers_int_listname,SUMIF(materials[Organisation type],pers_int_listname,materials[Amount])&gt;mat_int_maxperc*Total_material_costs),$B$79,"")</f>
        <v/>
      </c>
      <c r="I246" s="111" t="str">
        <f>IF(AND(LEN(INDEX(materials[Description],materials_notes[[#This Row],[Row nr]]))&gt;0,LEN(INDEX(materials[Amount],materials_notes[[#This Row],[Row nr]]))=0),$B$80,"")</f>
        <v/>
      </c>
    </row>
    <row r="247" spans="1:11" outlineLevel="1" x14ac:dyDescent="0.3">
      <c r="A247" s="217">
        <v>2</v>
      </c>
      <c r="B247" s="217" t="str" cm="1">
        <f t="array" aca="1" ref="B247" ca="1">IFERROR(INDEX(materials_notes[[#This Row],[Empty line]:[Amount not specified]],1,MATCH(TRUE,LEN(materials_notes[[#This Row],[Empty line]:[Amount not specified]])&gt;0,0)),"")</f>
        <v/>
      </c>
      <c r="C247" s="111" t="str">
        <f>IFERROR(IF(AND(empty_lines="no",LEN(INDEX(materials[Description],materials_notes[[#This Row],[Row nr]]))=0,LEN(INDEX(materials[Description],materials_notes[[#This Row],[Row nr]]+1))&gt;0),$B$36,""),"")</f>
        <v/>
      </c>
      <c r="D247" s="111" t="str">
        <f>IF(AND(organisation_type="yes",LEN(INDEX(materials[Description],materials_notes[[#This Row],[Row nr]]))&gt;0,ISBLANK(INDEX(materials[Organisation type],materials_notes[[#This Row],[Row nr]]))),$B$53,"")</f>
        <v/>
      </c>
      <c r="E247" s="111" t="str">
        <f>IF(AND(organisation_name="yes",LEN(INDEX(materials[Description],materials_notes[[#This Row],[Row nr]]))&gt;0,LEN(INDEX(materials[Organisation type],materials_notes[[#This Row],[Row nr]]))&gt;0,ISBLANK(INDEX(materials[Name organisation],materials_notes[[#This Row],[Row nr]]))),$B$54,"")</f>
        <v/>
      </c>
      <c r="F247" s="111" t="str" cm="1">
        <f t="array" ref="F247">IF(AND(INDEX(materials[Amount],materials_notes[[#This Row],[Row nr]])&gt;0,SUM(materials[Amount])&gt;Mat_max_amount),$B$77,"")</f>
        <v/>
      </c>
      <c r="G247" s="111" t="str" cm="1">
        <f t="array" aca="1" ref="G247" ca="1">IF(AND(INDEX(materials[Amount],materials_notes[[#This Row],[Row nr]])&gt;0,SUM(materials[Amount])&gt;mat_maxperc_pers*Total_personnel_costs),$B$78,"")</f>
        <v/>
      </c>
      <c r="H247" s="111" t="str">
        <f>IF(AND(LEN(INDEX(materials[Description],materials_notes[[#This Row],[Row nr]]))&gt;0,INDEX(materials[Organisation type],materials_notes[[#This Row],[Row nr]])=pers_int_listname,SUMIF(materials[Organisation type],pers_int_listname,materials[Amount])&gt;mat_int_maxperc*Total_material_costs),$B$79,"")</f>
        <v/>
      </c>
      <c r="I247" s="111" t="str">
        <f>IF(AND(LEN(INDEX(materials[Description],materials_notes[[#This Row],[Row nr]]))&gt;0,LEN(INDEX(materials[Amount],materials_notes[[#This Row],[Row nr]]))=0),$B$80,"")</f>
        <v/>
      </c>
    </row>
    <row r="248" spans="1:11" outlineLevel="1" x14ac:dyDescent="0.3">
      <c r="A248" s="217">
        <v>3</v>
      </c>
      <c r="B248" s="217" t="str" cm="1">
        <f t="array" aca="1" ref="B248" ca="1">IFERROR(INDEX(materials_notes[[#This Row],[Empty line]:[Amount not specified]],1,MATCH(TRUE,LEN(materials_notes[[#This Row],[Empty line]:[Amount not specified]])&gt;0,0)),"")</f>
        <v/>
      </c>
      <c r="C248" s="111" t="str">
        <f>IFERROR(IF(AND(empty_lines="no",LEN(INDEX(materials[Description],materials_notes[[#This Row],[Row nr]]))=0,LEN(INDEX(materials[Description],materials_notes[[#This Row],[Row nr]]+1))&gt;0),$B$36,""),"")</f>
        <v/>
      </c>
      <c r="D248" s="111" t="str">
        <f>IF(AND(organisation_type="yes",LEN(INDEX(materials[Description],materials_notes[[#This Row],[Row nr]]))&gt;0,ISBLANK(INDEX(materials[Organisation type],materials_notes[[#This Row],[Row nr]]))),$B$53,"")</f>
        <v/>
      </c>
      <c r="E248" s="111" t="str">
        <f>IF(AND(organisation_name="yes",LEN(INDEX(materials[Description],materials_notes[[#This Row],[Row nr]]))&gt;0,LEN(INDEX(materials[Organisation type],materials_notes[[#This Row],[Row nr]]))&gt;0,ISBLANK(INDEX(materials[Name organisation],materials_notes[[#This Row],[Row nr]]))),$B$54,"")</f>
        <v/>
      </c>
      <c r="F248" s="111" t="str" cm="1">
        <f t="array" ref="F248">IF(AND(INDEX(materials[Amount],materials_notes[[#This Row],[Row nr]])&gt;0,SUM(materials[Amount])&gt;Mat_max_amount),$B$77,"")</f>
        <v/>
      </c>
      <c r="G248" s="111" t="str" cm="1">
        <f t="array" aca="1" ref="G248" ca="1">IF(AND(INDEX(materials[Amount],materials_notes[[#This Row],[Row nr]])&gt;0,SUM(materials[Amount])&gt;mat_maxperc_pers*Total_personnel_costs),$B$78,"")</f>
        <v/>
      </c>
      <c r="H248" s="111" t="str">
        <f>IF(AND(LEN(INDEX(materials[Description],materials_notes[[#This Row],[Row nr]]))&gt;0,INDEX(materials[Organisation type],materials_notes[[#This Row],[Row nr]])=pers_int_listname,SUMIF(materials[Organisation type],pers_int_listname,materials[Amount])&gt;mat_int_maxperc*Total_material_costs),$B$79,"")</f>
        <v/>
      </c>
      <c r="I248" s="111" t="str">
        <f>IF(AND(LEN(INDEX(materials[Description],materials_notes[[#This Row],[Row nr]]))&gt;0,LEN(INDEX(materials[Amount],materials_notes[[#This Row],[Row nr]]))=0),$B$80,"")</f>
        <v/>
      </c>
    </row>
    <row r="249" spans="1:11" outlineLevel="1" x14ac:dyDescent="0.3">
      <c r="A249" s="217">
        <v>4</v>
      </c>
      <c r="B249" s="217" t="str" cm="1">
        <f t="array" aca="1" ref="B249" ca="1">IFERROR(INDEX(materials_notes[[#This Row],[Empty line]:[Amount not specified]],1,MATCH(TRUE,LEN(materials_notes[[#This Row],[Empty line]:[Amount not specified]])&gt;0,0)),"")</f>
        <v/>
      </c>
      <c r="C249" s="111" t="str">
        <f>IFERROR(IF(AND(empty_lines="no",LEN(INDEX(materials[Description],materials_notes[[#This Row],[Row nr]]))=0,LEN(INDEX(materials[Description],materials_notes[[#This Row],[Row nr]]+1))&gt;0),$B$36,""),"")</f>
        <v/>
      </c>
      <c r="D249" s="111" t="str">
        <f>IF(AND(organisation_type="yes",LEN(INDEX(materials[Description],materials_notes[[#This Row],[Row nr]]))&gt;0,ISBLANK(INDEX(materials[Organisation type],materials_notes[[#This Row],[Row nr]]))),$B$53,"")</f>
        <v/>
      </c>
      <c r="E249" s="111" t="str">
        <f>IF(AND(organisation_name="yes",LEN(INDEX(materials[Description],materials_notes[[#This Row],[Row nr]]))&gt;0,LEN(INDEX(materials[Organisation type],materials_notes[[#This Row],[Row nr]]))&gt;0,ISBLANK(INDEX(materials[Name organisation],materials_notes[[#This Row],[Row nr]]))),$B$54,"")</f>
        <v/>
      </c>
      <c r="F249" s="111" t="str" cm="1">
        <f t="array" ref="F249">IF(AND(INDEX(materials[Amount],materials_notes[[#This Row],[Row nr]])&gt;0,SUM(materials[Amount])&gt;Mat_max_amount),$B$77,"")</f>
        <v/>
      </c>
      <c r="G249" s="111" t="str" cm="1">
        <f t="array" aca="1" ref="G249" ca="1">IF(AND(INDEX(materials[Amount],materials_notes[[#This Row],[Row nr]])&gt;0,SUM(materials[Amount])&gt;mat_maxperc_pers*Total_personnel_costs),$B$78,"")</f>
        <v/>
      </c>
      <c r="H249" s="111" t="str">
        <f>IF(AND(LEN(INDEX(materials[Description],materials_notes[[#This Row],[Row nr]]))&gt;0,INDEX(materials[Organisation type],materials_notes[[#This Row],[Row nr]])=pers_int_listname,SUMIF(materials[Organisation type],pers_int_listname,materials[Amount])&gt;mat_int_maxperc*Total_material_costs),$B$79,"")</f>
        <v/>
      </c>
      <c r="I249" s="111" t="str">
        <f>IF(AND(LEN(INDEX(materials[Description],materials_notes[[#This Row],[Row nr]]))&gt;0,LEN(INDEX(materials[Amount],materials_notes[[#This Row],[Row nr]]))=0),$B$80,"")</f>
        <v/>
      </c>
    </row>
    <row r="250" spans="1:11" outlineLevel="1" x14ac:dyDescent="0.3">
      <c r="A250" s="217">
        <v>5</v>
      </c>
      <c r="B250" s="217" t="str" cm="1">
        <f t="array" aca="1" ref="B250" ca="1">IFERROR(INDEX(materials_notes[[#This Row],[Empty line]:[Amount not specified]],1,MATCH(TRUE,LEN(materials_notes[[#This Row],[Empty line]:[Amount not specified]])&gt;0,0)),"")</f>
        <v/>
      </c>
      <c r="C250" s="111" t="str">
        <f>IFERROR(IF(AND(empty_lines="no",LEN(INDEX(materials[Description],materials_notes[[#This Row],[Row nr]]))=0,LEN(INDEX(materials[Description],materials_notes[[#This Row],[Row nr]]+1))&gt;0),$B$36,""),"")</f>
        <v/>
      </c>
      <c r="D250" s="111" t="str">
        <f>IF(AND(organisation_type="yes",LEN(INDEX(materials[Description],materials_notes[[#This Row],[Row nr]]))&gt;0,ISBLANK(INDEX(materials[Organisation type],materials_notes[[#This Row],[Row nr]]))),$B$53,"")</f>
        <v/>
      </c>
      <c r="E250" s="111" t="str">
        <f>IF(AND(organisation_name="yes",LEN(INDEX(materials[Description],materials_notes[[#This Row],[Row nr]]))&gt;0,LEN(INDEX(materials[Organisation type],materials_notes[[#This Row],[Row nr]]))&gt;0,ISBLANK(INDEX(materials[Name organisation],materials_notes[[#This Row],[Row nr]]))),$B$54,"")</f>
        <v/>
      </c>
      <c r="F250" s="111" t="str" cm="1">
        <f t="array" ref="F250">IF(AND(INDEX(materials[Amount],materials_notes[[#This Row],[Row nr]])&gt;0,SUM(materials[Amount])&gt;Mat_max_amount),$B$77,"")</f>
        <v/>
      </c>
      <c r="G250" s="111" t="str" cm="1">
        <f t="array" aca="1" ref="G250" ca="1">IF(AND(INDEX(materials[Amount],materials_notes[[#This Row],[Row nr]])&gt;0,SUM(materials[Amount])&gt;mat_maxperc_pers*Total_personnel_costs),$B$78,"")</f>
        <v/>
      </c>
      <c r="H250" s="111" t="str">
        <f>IF(AND(LEN(INDEX(materials[Description],materials_notes[[#This Row],[Row nr]]))&gt;0,INDEX(materials[Organisation type],materials_notes[[#This Row],[Row nr]])=pers_int_listname,SUMIF(materials[Organisation type],pers_int_listname,materials[Amount])&gt;mat_int_maxperc*Total_material_costs),$B$79,"")</f>
        <v/>
      </c>
      <c r="I250" s="111" t="str">
        <f>IF(AND(LEN(INDEX(materials[Description],materials_notes[[#This Row],[Row nr]]))&gt;0,LEN(INDEX(materials[Amount],materials_notes[[#This Row],[Row nr]]))=0),$B$80,"")</f>
        <v/>
      </c>
    </row>
    <row r="251" spans="1:11" outlineLevel="1" x14ac:dyDescent="0.3">
      <c r="A251" s="217">
        <v>6</v>
      </c>
      <c r="B251" s="217" t="str" cm="1">
        <f t="array" aca="1" ref="B251" ca="1">IFERROR(INDEX(materials_notes[[#This Row],[Empty line]:[Amount not specified]],1,MATCH(TRUE,LEN(materials_notes[[#This Row],[Empty line]:[Amount not specified]])&gt;0,0)),"")</f>
        <v/>
      </c>
      <c r="C251" s="111" t="str">
        <f>IFERROR(IF(AND(empty_lines="no",LEN(INDEX(materials[Description],materials_notes[[#This Row],[Row nr]]))=0,LEN(INDEX(materials[Description],materials_notes[[#This Row],[Row nr]]+1))&gt;0),$B$36,""),"")</f>
        <v/>
      </c>
      <c r="D251" s="111" t="str">
        <f>IF(AND(organisation_type="yes",LEN(INDEX(materials[Description],materials_notes[[#This Row],[Row nr]]))&gt;0,ISBLANK(INDEX(materials[Organisation type],materials_notes[[#This Row],[Row nr]]))),$B$53,"")</f>
        <v/>
      </c>
      <c r="E251" s="111" t="str">
        <f>IF(AND(organisation_name="yes",LEN(INDEX(materials[Description],materials_notes[[#This Row],[Row nr]]))&gt;0,LEN(INDEX(materials[Organisation type],materials_notes[[#This Row],[Row nr]]))&gt;0,ISBLANK(INDEX(materials[Name organisation],materials_notes[[#This Row],[Row nr]]))),$B$54,"")</f>
        <v/>
      </c>
      <c r="F251" s="111" t="str" cm="1">
        <f t="array" ref="F251">IF(AND(INDEX(materials[Amount],materials_notes[[#This Row],[Row nr]])&gt;0,SUM(materials[Amount])&gt;Mat_max_amount),$B$77,"")</f>
        <v/>
      </c>
      <c r="G251" s="111" t="str" cm="1">
        <f t="array" aca="1" ref="G251" ca="1">IF(AND(INDEX(materials[Amount],materials_notes[[#This Row],[Row nr]])&gt;0,SUM(materials[Amount])&gt;mat_maxperc_pers*Total_personnel_costs),$B$78,"")</f>
        <v/>
      </c>
      <c r="H251" s="111" t="str">
        <f>IF(AND(LEN(INDEX(materials[Description],materials_notes[[#This Row],[Row nr]]))&gt;0,INDEX(materials[Organisation type],materials_notes[[#This Row],[Row nr]])=pers_int_listname,SUMIF(materials[Organisation type],pers_int_listname,materials[Amount])&gt;mat_int_maxperc*Total_material_costs),$B$79,"")</f>
        <v/>
      </c>
      <c r="I251" s="111" t="str">
        <f>IF(AND(LEN(INDEX(materials[Description],materials_notes[[#This Row],[Row nr]]))&gt;0,LEN(INDEX(materials[Amount],materials_notes[[#This Row],[Row nr]]))=0),$B$80,"")</f>
        <v/>
      </c>
    </row>
    <row r="252" spans="1:11" outlineLevel="1" x14ac:dyDescent="0.3">
      <c r="A252" s="217">
        <v>7</v>
      </c>
      <c r="B252" s="217" t="str" cm="1">
        <f t="array" aca="1" ref="B252" ca="1">IFERROR(INDEX(materials_notes[[#This Row],[Empty line]:[Amount not specified]],1,MATCH(TRUE,LEN(materials_notes[[#This Row],[Empty line]:[Amount not specified]])&gt;0,0)),"")</f>
        <v/>
      </c>
      <c r="C252" s="111" t="str">
        <f>IFERROR(IF(AND(empty_lines="no",LEN(INDEX(materials[Description],materials_notes[[#This Row],[Row nr]]))=0,LEN(INDEX(materials[Description],materials_notes[[#This Row],[Row nr]]+1))&gt;0),$B$36,""),"")</f>
        <v/>
      </c>
      <c r="D252" s="111" t="str">
        <f>IF(AND(organisation_type="yes",LEN(INDEX(materials[Description],materials_notes[[#This Row],[Row nr]]))&gt;0,ISBLANK(INDEX(materials[Organisation type],materials_notes[[#This Row],[Row nr]]))),$B$53,"")</f>
        <v/>
      </c>
      <c r="E252" s="111" t="str">
        <f>IF(AND(organisation_name="yes",LEN(INDEX(materials[Description],materials_notes[[#This Row],[Row nr]]))&gt;0,LEN(INDEX(materials[Organisation type],materials_notes[[#This Row],[Row nr]]))&gt;0,ISBLANK(INDEX(materials[Name organisation],materials_notes[[#This Row],[Row nr]]))),$B$54,"")</f>
        <v/>
      </c>
      <c r="F252" s="111" t="str" cm="1">
        <f t="array" ref="F252">IF(AND(INDEX(materials[Amount],materials_notes[[#This Row],[Row nr]])&gt;0,SUM(materials[Amount])&gt;Mat_max_amount),$B$77,"")</f>
        <v/>
      </c>
      <c r="G252" s="111" t="str" cm="1">
        <f t="array" aca="1" ref="G252" ca="1">IF(AND(INDEX(materials[Amount],materials_notes[[#This Row],[Row nr]])&gt;0,SUM(materials[Amount])&gt;mat_maxperc_pers*Total_personnel_costs),$B$78,"")</f>
        <v/>
      </c>
      <c r="H252" s="111" t="str">
        <f>IF(AND(LEN(INDEX(materials[Description],materials_notes[[#This Row],[Row nr]]))&gt;0,INDEX(materials[Organisation type],materials_notes[[#This Row],[Row nr]])=pers_int_listname,SUMIF(materials[Organisation type],pers_int_listname,materials[Amount])&gt;mat_int_maxperc*Total_material_costs),$B$79,"")</f>
        <v/>
      </c>
      <c r="I252" s="111" t="str">
        <f>IF(AND(LEN(INDEX(materials[Description],materials_notes[[#This Row],[Row nr]]))&gt;0,LEN(INDEX(materials[Amount],materials_notes[[#This Row],[Row nr]]))=0),$B$80,"")</f>
        <v/>
      </c>
    </row>
    <row r="253" spans="1:11" outlineLevel="1" x14ac:dyDescent="0.3">
      <c r="A253" s="217">
        <v>8</v>
      </c>
      <c r="B253" s="217" t="str" cm="1">
        <f t="array" aca="1" ref="B253" ca="1">IFERROR(INDEX(materials_notes[[#This Row],[Empty line]:[Amount not specified]],1,MATCH(TRUE,LEN(materials_notes[[#This Row],[Empty line]:[Amount not specified]])&gt;0,0)),"")</f>
        <v/>
      </c>
      <c r="C253" s="111" t="str">
        <f>IFERROR(IF(AND(empty_lines="no",LEN(INDEX(materials[Description],materials_notes[[#This Row],[Row nr]]))=0,LEN(INDEX(materials[Description],materials_notes[[#This Row],[Row nr]]+1))&gt;0),$B$36,""),"")</f>
        <v/>
      </c>
      <c r="D253" s="111" t="str">
        <f>IF(AND(organisation_type="yes",LEN(INDEX(materials[Description],materials_notes[[#This Row],[Row nr]]))&gt;0,ISBLANK(INDEX(materials[Organisation type],materials_notes[[#This Row],[Row nr]]))),$B$53,"")</f>
        <v/>
      </c>
      <c r="E253" s="111" t="str">
        <f>IF(AND(organisation_name="yes",LEN(INDEX(materials[Description],materials_notes[[#This Row],[Row nr]]))&gt;0,LEN(INDEX(materials[Organisation type],materials_notes[[#This Row],[Row nr]]))&gt;0,ISBLANK(INDEX(materials[Name organisation],materials_notes[[#This Row],[Row nr]]))),$B$54,"")</f>
        <v/>
      </c>
      <c r="F253" s="111" t="str" cm="1">
        <f t="array" ref="F253">IF(AND(INDEX(materials[Amount],materials_notes[[#This Row],[Row nr]])&gt;0,SUM(materials[Amount])&gt;Mat_max_amount),$B$77,"")</f>
        <v/>
      </c>
      <c r="G253" s="111" t="str" cm="1">
        <f t="array" aca="1" ref="G253" ca="1">IF(AND(INDEX(materials[Amount],materials_notes[[#This Row],[Row nr]])&gt;0,SUM(materials[Amount])&gt;mat_maxperc_pers*Total_personnel_costs),$B$78,"")</f>
        <v/>
      </c>
      <c r="H253" s="111" t="str">
        <f>IF(AND(LEN(INDEX(materials[Description],materials_notes[[#This Row],[Row nr]]))&gt;0,INDEX(materials[Organisation type],materials_notes[[#This Row],[Row nr]])=pers_int_listname,SUMIF(materials[Organisation type],pers_int_listname,materials[Amount])&gt;mat_int_maxperc*Total_material_costs),$B$79,"")</f>
        <v/>
      </c>
      <c r="I253" s="111" t="str">
        <f>IF(AND(LEN(INDEX(materials[Description],materials_notes[[#This Row],[Row nr]]))&gt;0,LEN(INDEX(materials[Amount],materials_notes[[#This Row],[Row nr]]))=0),$B$80,"")</f>
        <v/>
      </c>
    </row>
    <row r="254" spans="1:11" outlineLevel="1" x14ac:dyDescent="0.3">
      <c r="A254" s="217">
        <v>9</v>
      </c>
      <c r="B254" s="217" t="str" cm="1">
        <f t="array" aca="1" ref="B254" ca="1">IFERROR(INDEX(materials_notes[[#This Row],[Empty line]:[Amount not specified]],1,MATCH(TRUE,LEN(materials_notes[[#This Row],[Empty line]:[Amount not specified]])&gt;0,0)),"")</f>
        <v/>
      </c>
      <c r="C254" s="111" t="str">
        <f>IFERROR(IF(AND(empty_lines="no",LEN(INDEX(materials[Description],materials_notes[[#This Row],[Row nr]]))=0,LEN(INDEX(materials[Description],materials_notes[[#This Row],[Row nr]]+1))&gt;0),$B$36,""),"")</f>
        <v/>
      </c>
      <c r="D254" s="111" t="str">
        <f>IF(AND(organisation_type="yes",LEN(INDEX(materials[Description],materials_notes[[#This Row],[Row nr]]))&gt;0,ISBLANK(INDEX(materials[Organisation type],materials_notes[[#This Row],[Row nr]]))),$B$53,"")</f>
        <v/>
      </c>
      <c r="E254" s="111" t="str">
        <f>IF(AND(organisation_name="yes",LEN(INDEX(materials[Description],materials_notes[[#This Row],[Row nr]]))&gt;0,LEN(INDEX(materials[Organisation type],materials_notes[[#This Row],[Row nr]]))&gt;0,ISBLANK(INDEX(materials[Name organisation],materials_notes[[#This Row],[Row nr]]))),$B$54,"")</f>
        <v/>
      </c>
      <c r="F254" s="111" t="str" cm="1">
        <f t="array" ref="F254">IF(AND(INDEX(materials[Amount],materials_notes[[#This Row],[Row nr]])&gt;0,SUM(materials[Amount])&gt;Mat_max_amount),$B$77,"")</f>
        <v/>
      </c>
      <c r="G254" s="111" t="str" cm="1">
        <f t="array" aca="1" ref="G254" ca="1">IF(AND(INDEX(materials[Amount],materials_notes[[#This Row],[Row nr]])&gt;0,SUM(materials[Amount])&gt;mat_maxperc_pers*Total_personnel_costs),$B$78,"")</f>
        <v/>
      </c>
      <c r="H254" s="111" t="str">
        <f>IF(AND(LEN(INDEX(materials[Description],materials_notes[[#This Row],[Row nr]]))&gt;0,INDEX(materials[Organisation type],materials_notes[[#This Row],[Row nr]])=pers_int_listname,SUMIF(materials[Organisation type],pers_int_listname,materials[Amount])&gt;mat_int_maxperc*Total_material_costs),$B$79,"")</f>
        <v/>
      </c>
      <c r="I254" s="111" t="str">
        <f>IF(AND(LEN(INDEX(materials[Description],materials_notes[[#This Row],[Row nr]]))&gt;0,LEN(INDEX(materials[Amount],materials_notes[[#This Row],[Row nr]]))=0),$B$80,"")</f>
        <v/>
      </c>
    </row>
    <row r="255" spans="1:11" outlineLevel="1" x14ac:dyDescent="0.3">
      <c r="A255" s="217">
        <v>10</v>
      </c>
      <c r="B255" s="217" t="str" cm="1">
        <f t="array" aca="1" ref="B255" ca="1">IFERROR(INDEX(materials_notes[[#This Row],[Empty line]:[Amount not specified]],1,MATCH(TRUE,LEN(materials_notes[[#This Row],[Empty line]:[Amount not specified]])&gt;0,0)),"")</f>
        <v/>
      </c>
      <c r="C255" s="111" t="str">
        <f>IFERROR(IF(AND(empty_lines="no",LEN(INDEX(materials[Description],materials_notes[[#This Row],[Row nr]]))=0,LEN(INDEX(materials[Description],materials_notes[[#This Row],[Row nr]]+1))&gt;0),$B$36,""),"")</f>
        <v/>
      </c>
      <c r="D255" s="111" t="str">
        <f>IF(AND(organisation_type="yes",LEN(INDEX(materials[Description],materials_notes[[#This Row],[Row nr]]))&gt;0,ISBLANK(INDEX(materials[Organisation type],materials_notes[[#This Row],[Row nr]]))),$B$53,"")</f>
        <v/>
      </c>
      <c r="E255" s="111" t="str">
        <f>IF(AND(organisation_name="yes",LEN(INDEX(materials[Description],materials_notes[[#This Row],[Row nr]]))&gt;0,LEN(INDEX(materials[Organisation type],materials_notes[[#This Row],[Row nr]]))&gt;0,ISBLANK(INDEX(materials[Name organisation],materials_notes[[#This Row],[Row nr]]))),$B$54,"")</f>
        <v/>
      </c>
      <c r="F255" s="111" t="str" cm="1">
        <f t="array" ref="F255">IF(AND(INDEX(materials[Amount],materials_notes[[#This Row],[Row nr]])&gt;0,SUM(materials[Amount])&gt;Mat_max_amount),$B$77,"")</f>
        <v/>
      </c>
      <c r="G255" s="111" t="str" cm="1">
        <f t="array" aca="1" ref="G255" ca="1">IF(AND(INDEX(materials[Amount],materials_notes[[#This Row],[Row nr]])&gt;0,SUM(materials[Amount])&gt;mat_maxperc_pers*Total_personnel_costs),$B$78,"")</f>
        <v/>
      </c>
      <c r="H255" s="111" t="str">
        <f>IF(AND(LEN(INDEX(materials[Description],materials_notes[[#This Row],[Row nr]]))&gt;0,INDEX(materials[Organisation type],materials_notes[[#This Row],[Row nr]])=pers_int_listname,SUMIF(materials[Organisation type],pers_int_listname,materials[Amount])&gt;mat_int_maxperc*Total_material_costs),$B$79,"")</f>
        <v/>
      </c>
      <c r="I255" s="111" t="str">
        <f>IF(AND(LEN(INDEX(materials[Description],materials_notes[[#This Row],[Row nr]]))&gt;0,LEN(INDEX(materials[Amount],materials_notes[[#This Row],[Row nr]]))=0),$B$80,"")</f>
        <v/>
      </c>
    </row>
    <row r="256" spans="1:11" outlineLevel="1" x14ac:dyDescent="0.3">
      <c r="A256" s="217">
        <v>11</v>
      </c>
      <c r="B256" s="217" t="str" cm="1">
        <f t="array" aca="1" ref="B256" ca="1">IFERROR(INDEX(materials_notes[[#This Row],[Empty line]:[Amount not specified]],1,MATCH(TRUE,LEN(materials_notes[[#This Row],[Empty line]:[Amount not specified]])&gt;0,0)),"")</f>
        <v/>
      </c>
      <c r="C256" s="111" t="str">
        <f>IFERROR(IF(AND(empty_lines="no",LEN(INDEX(materials[Description],materials_notes[[#This Row],[Row nr]]))=0,LEN(INDEX(materials[Description],materials_notes[[#This Row],[Row nr]]+1))&gt;0),$B$36,""),"")</f>
        <v/>
      </c>
      <c r="D256" s="111" t="str">
        <f>IF(AND(organisation_type="yes",LEN(INDEX(materials[Description],materials_notes[[#This Row],[Row nr]]))&gt;0,ISBLANK(INDEX(materials[Organisation type],materials_notes[[#This Row],[Row nr]]))),$B$53,"")</f>
        <v/>
      </c>
      <c r="E256" s="111" t="str">
        <f>IF(AND(organisation_name="yes",LEN(INDEX(materials[Description],materials_notes[[#This Row],[Row nr]]))&gt;0,LEN(INDEX(materials[Organisation type],materials_notes[[#This Row],[Row nr]]))&gt;0,ISBLANK(INDEX(materials[Name organisation],materials_notes[[#This Row],[Row nr]]))),$B$54,"")</f>
        <v/>
      </c>
      <c r="F256" s="111" t="str" cm="1">
        <f t="array" ref="F256">IF(AND(INDEX(materials[Amount],materials_notes[[#This Row],[Row nr]])&gt;0,SUM(materials[Amount])&gt;Mat_max_amount),$B$77,"")</f>
        <v/>
      </c>
      <c r="G256" s="111" t="str" cm="1">
        <f t="array" aca="1" ref="G256" ca="1">IF(AND(INDEX(materials[Amount],materials_notes[[#This Row],[Row nr]])&gt;0,SUM(materials[Amount])&gt;mat_maxperc_pers*Total_personnel_costs),$B$78,"")</f>
        <v/>
      </c>
      <c r="H256" s="111" t="str">
        <f>IF(AND(LEN(INDEX(materials[Description],materials_notes[[#This Row],[Row nr]]))&gt;0,INDEX(materials[Organisation type],materials_notes[[#This Row],[Row nr]])=pers_int_listname,SUMIF(materials[Organisation type],pers_int_listname,materials[Amount])&gt;mat_int_maxperc*Total_material_costs),$B$79,"")</f>
        <v/>
      </c>
      <c r="I256" s="111" t="str">
        <f>IF(AND(LEN(INDEX(materials[Description],materials_notes[[#This Row],[Row nr]]))&gt;0,LEN(INDEX(materials[Amount],materials_notes[[#This Row],[Row nr]]))=0),$B$80,"")</f>
        <v/>
      </c>
    </row>
    <row r="257" spans="1:9" outlineLevel="1" x14ac:dyDescent="0.3">
      <c r="A257" s="217">
        <v>12</v>
      </c>
      <c r="B257" s="217" t="str" cm="1">
        <f t="array" aca="1" ref="B257" ca="1">IFERROR(INDEX(materials_notes[[#This Row],[Empty line]:[Amount not specified]],1,MATCH(TRUE,LEN(materials_notes[[#This Row],[Empty line]:[Amount not specified]])&gt;0,0)),"")</f>
        <v/>
      </c>
      <c r="C257" s="111" t="str">
        <f>IFERROR(IF(AND(empty_lines="no",LEN(INDEX(materials[Description],materials_notes[[#This Row],[Row nr]]))=0,LEN(INDEX(materials[Description],materials_notes[[#This Row],[Row nr]]+1))&gt;0),$B$36,""),"")</f>
        <v/>
      </c>
      <c r="D257" s="111" t="str">
        <f>IF(AND(organisation_type="yes",LEN(INDEX(materials[Description],materials_notes[[#This Row],[Row nr]]))&gt;0,ISBLANK(INDEX(materials[Organisation type],materials_notes[[#This Row],[Row nr]]))),$B$53,"")</f>
        <v/>
      </c>
      <c r="E257" s="111" t="str">
        <f>IF(AND(organisation_name="yes",LEN(INDEX(materials[Description],materials_notes[[#This Row],[Row nr]]))&gt;0,LEN(INDEX(materials[Organisation type],materials_notes[[#This Row],[Row nr]]))&gt;0,ISBLANK(INDEX(materials[Name organisation],materials_notes[[#This Row],[Row nr]]))),$B$54,"")</f>
        <v/>
      </c>
      <c r="F257" s="111" t="str" cm="1">
        <f t="array" ref="F257">IF(AND(INDEX(materials[Amount],materials_notes[[#This Row],[Row nr]])&gt;0,SUM(materials[Amount])&gt;Mat_max_amount),$B$77,"")</f>
        <v/>
      </c>
      <c r="G257" s="111" t="str" cm="1">
        <f t="array" aca="1" ref="G257" ca="1">IF(AND(INDEX(materials[Amount],materials_notes[[#This Row],[Row nr]])&gt;0,SUM(materials[Amount])&gt;mat_maxperc_pers*Total_personnel_costs),$B$78,"")</f>
        <v/>
      </c>
      <c r="H257" s="111" t="str">
        <f>IF(AND(LEN(INDEX(materials[Description],materials_notes[[#This Row],[Row nr]]))&gt;0,INDEX(materials[Organisation type],materials_notes[[#This Row],[Row nr]])=pers_int_listname,SUMIF(materials[Organisation type],pers_int_listname,materials[Amount])&gt;mat_int_maxperc*Total_material_costs),$B$79,"")</f>
        <v/>
      </c>
      <c r="I257" s="111" t="str">
        <f>IF(AND(LEN(INDEX(materials[Description],materials_notes[[#This Row],[Row nr]]))&gt;0,LEN(INDEX(materials[Amount],materials_notes[[#This Row],[Row nr]]))=0),$B$80,"")</f>
        <v/>
      </c>
    </row>
    <row r="258" spans="1:9" outlineLevel="1" x14ac:dyDescent="0.3">
      <c r="A258" s="217">
        <v>13</v>
      </c>
      <c r="B258" s="217" t="str" cm="1">
        <f t="array" aca="1" ref="B258" ca="1">IFERROR(INDEX(materials_notes[[#This Row],[Empty line]:[Amount not specified]],1,MATCH(TRUE,LEN(materials_notes[[#This Row],[Empty line]:[Amount not specified]])&gt;0,0)),"")</f>
        <v/>
      </c>
      <c r="C258" s="111" t="str">
        <f>IFERROR(IF(AND(empty_lines="no",LEN(INDEX(materials[Description],materials_notes[[#This Row],[Row nr]]))=0,LEN(INDEX(materials[Description],materials_notes[[#This Row],[Row nr]]+1))&gt;0),$B$36,""),"")</f>
        <v/>
      </c>
      <c r="D258" s="111" t="str">
        <f>IF(AND(organisation_type="yes",LEN(INDEX(materials[Description],materials_notes[[#This Row],[Row nr]]))&gt;0,ISBLANK(INDEX(materials[Organisation type],materials_notes[[#This Row],[Row nr]]))),$B$53,"")</f>
        <v/>
      </c>
      <c r="E258" s="111" t="str">
        <f>IF(AND(organisation_name="yes",LEN(INDEX(materials[Description],materials_notes[[#This Row],[Row nr]]))&gt;0,LEN(INDEX(materials[Organisation type],materials_notes[[#This Row],[Row nr]]))&gt;0,ISBLANK(INDEX(materials[Name organisation],materials_notes[[#This Row],[Row nr]]))),$B$54,"")</f>
        <v/>
      </c>
      <c r="F258" s="111" t="str" cm="1">
        <f t="array" ref="F258">IF(AND(INDEX(materials[Amount],materials_notes[[#This Row],[Row nr]])&gt;0,SUM(materials[Amount])&gt;Mat_max_amount),$B$77,"")</f>
        <v/>
      </c>
      <c r="G258" s="111" t="str" cm="1">
        <f t="array" aca="1" ref="G258" ca="1">IF(AND(INDEX(materials[Amount],materials_notes[[#This Row],[Row nr]])&gt;0,SUM(materials[Amount])&gt;mat_maxperc_pers*Total_personnel_costs),$B$78,"")</f>
        <v/>
      </c>
      <c r="H258" s="111" t="str">
        <f>IF(AND(LEN(INDEX(materials[Description],materials_notes[[#This Row],[Row nr]]))&gt;0,INDEX(materials[Organisation type],materials_notes[[#This Row],[Row nr]])=pers_int_listname,SUMIF(materials[Organisation type],pers_int_listname,materials[Amount])&gt;mat_int_maxperc*Total_material_costs),$B$79,"")</f>
        <v/>
      </c>
      <c r="I258" s="111" t="str">
        <f>IF(AND(LEN(INDEX(materials[Description],materials_notes[[#This Row],[Row nr]]))&gt;0,LEN(INDEX(materials[Amount],materials_notes[[#This Row],[Row nr]]))=0),$B$80,"")</f>
        <v/>
      </c>
    </row>
    <row r="259" spans="1:9" outlineLevel="1" x14ac:dyDescent="0.3">
      <c r="A259" s="217">
        <v>14</v>
      </c>
      <c r="B259" s="217" t="str" cm="1">
        <f t="array" aca="1" ref="B259" ca="1">IFERROR(INDEX(materials_notes[[#This Row],[Empty line]:[Amount not specified]],1,MATCH(TRUE,LEN(materials_notes[[#This Row],[Empty line]:[Amount not specified]])&gt;0,0)),"")</f>
        <v/>
      </c>
      <c r="C259" s="111" t="str">
        <f>IFERROR(IF(AND(empty_lines="no",LEN(INDEX(materials[Description],materials_notes[[#This Row],[Row nr]]))=0,LEN(INDEX(materials[Description],materials_notes[[#This Row],[Row nr]]+1))&gt;0),$B$36,""),"")</f>
        <v/>
      </c>
      <c r="D259" s="111" t="str">
        <f>IF(AND(organisation_type="yes",LEN(INDEX(materials[Description],materials_notes[[#This Row],[Row nr]]))&gt;0,ISBLANK(INDEX(materials[Organisation type],materials_notes[[#This Row],[Row nr]]))),$B$53,"")</f>
        <v/>
      </c>
      <c r="E259" s="111" t="str">
        <f>IF(AND(organisation_name="yes",LEN(INDEX(materials[Description],materials_notes[[#This Row],[Row nr]]))&gt;0,LEN(INDEX(materials[Organisation type],materials_notes[[#This Row],[Row nr]]))&gt;0,ISBLANK(INDEX(materials[Name organisation],materials_notes[[#This Row],[Row nr]]))),$B$54,"")</f>
        <v/>
      </c>
      <c r="F259" s="111" t="str" cm="1">
        <f t="array" ref="F259">IF(AND(INDEX(materials[Amount],materials_notes[[#This Row],[Row nr]])&gt;0,SUM(materials[Amount])&gt;Mat_max_amount),$B$77,"")</f>
        <v/>
      </c>
      <c r="G259" s="111" t="str" cm="1">
        <f t="array" aca="1" ref="G259" ca="1">IF(AND(INDEX(materials[Amount],materials_notes[[#This Row],[Row nr]])&gt;0,SUM(materials[Amount])&gt;mat_maxperc_pers*Total_personnel_costs),$B$78,"")</f>
        <v/>
      </c>
      <c r="H259" s="111" t="str">
        <f>IF(AND(LEN(INDEX(materials[Description],materials_notes[[#This Row],[Row nr]]))&gt;0,INDEX(materials[Organisation type],materials_notes[[#This Row],[Row nr]])=pers_int_listname,SUMIF(materials[Organisation type],pers_int_listname,materials[Amount])&gt;mat_int_maxperc*Total_material_costs),$B$79,"")</f>
        <v/>
      </c>
      <c r="I259" s="111" t="str">
        <f>IF(AND(LEN(INDEX(materials[Description],materials_notes[[#This Row],[Row nr]]))&gt;0,LEN(INDEX(materials[Amount],materials_notes[[#This Row],[Row nr]]))=0),$B$80,"")</f>
        <v/>
      </c>
    </row>
    <row r="260" spans="1:9" outlineLevel="1" x14ac:dyDescent="0.3">
      <c r="A260" s="217">
        <v>15</v>
      </c>
      <c r="B260" s="217" t="str" cm="1">
        <f t="array" aca="1" ref="B260" ca="1">IFERROR(INDEX(materials_notes[[#This Row],[Empty line]:[Amount not specified]],1,MATCH(TRUE,LEN(materials_notes[[#This Row],[Empty line]:[Amount not specified]])&gt;0,0)),"")</f>
        <v/>
      </c>
      <c r="C260" s="111" t="str">
        <f>IFERROR(IF(AND(empty_lines="no",LEN(INDEX(materials[Description],materials_notes[[#This Row],[Row nr]]))=0,LEN(INDEX(materials[Description],materials_notes[[#This Row],[Row nr]]+1))&gt;0),$B$36,""),"")</f>
        <v/>
      </c>
      <c r="D260" s="111" t="str">
        <f>IF(AND(organisation_type="yes",LEN(INDEX(materials[Description],materials_notes[[#This Row],[Row nr]]))&gt;0,ISBLANK(INDEX(materials[Organisation type],materials_notes[[#This Row],[Row nr]]))),$B$53,"")</f>
        <v/>
      </c>
      <c r="E260" s="111" t="str">
        <f>IF(AND(organisation_name="yes",LEN(INDEX(materials[Description],materials_notes[[#This Row],[Row nr]]))&gt;0,LEN(INDEX(materials[Organisation type],materials_notes[[#This Row],[Row nr]]))&gt;0,ISBLANK(INDEX(materials[Name organisation],materials_notes[[#This Row],[Row nr]]))),$B$54,"")</f>
        <v/>
      </c>
      <c r="F260" s="111" t="str" cm="1">
        <f t="array" ref="F260">IF(AND(INDEX(materials[Amount],materials_notes[[#This Row],[Row nr]])&gt;0,SUM(materials[Amount])&gt;Mat_max_amount),$B$77,"")</f>
        <v/>
      </c>
      <c r="G260" s="111" t="str" cm="1">
        <f t="array" aca="1" ref="G260" ca="1">IF(AND(INDEX(materials[Amount],materials_notes[[#This Row],[Row nr]])&gt;0,SUM(materials[Amount])&gt;mat_maxperc_pers*Total_personnel_costs),$B$78,"")</f>
        <v/>
      </c>
      <c r="H260" s="111" t="str">
        <f>IF(AND(LEN(INDEX(materials[Description],materials_notes[[#This Row],[Row nr]]))&gt;0,INDEX(materials[Organisation type],materials_notes[[#This Row],[Row nr]])=pers_int_listname,SUMIF(materials[Organisation type],pers_int_listname,materials[Amount])&gt;mat_int_maxperc*Total_material_costs),$B$79,"")</f>
        <v/>
      </c>
      <c r="I260" s="111" t="str">
        <f>IF(AND(LEN(INDEX(materials[Description],materials_notes[[#This Row],[Row nr]]))&gt;0,LEN(INDEX(materials[Amount],materials_notes[[#This Row],[Row nr]]))=0),$B$80,"")</f>
        <v/>
      </c>
    </row>
    <row r="261" spans="1:9" outlineLevel="1" x14ac:dyDescent="0.3">
      <c r="A261" s="217">
        <v>16</v>
      </c>
      <c r="B261" s="217" t="str" cm="1">
        <f t="array" aca="1" ref="B261" ca="1">IFERROR(INDEX(materials_notes[[#This Row],[Empty line]:[Amount not specified]],1,MATCH(TRUE,LEN(materials_notes[[#This Row],[Empty line]:[Amount not specified]])&gt;0,0)),"")</f>
        <v/>
      </c>
      <c r="C261" s="111" t="str">
        <f>IFERROR(IF(AND(empty_lines="no",LEN(INDEX(materials[Description],materials_notes[[#This Row],[Row nr]]))=0,LEN(INDEX(materials[Description],materials_notes[[#This Row],[Row nr]]+1))&gt;0),$B$36,""),"")</f>
        <v/>
      </c>
      <c r="D261" s="111" t="str">
        <f>IF(AND(organisation_type="yes",LEN(INDEX(materials[Description],materials_notes[[#This Row],[Row nr]]))&gt;0,ISBLANK(INDEX(materials[Organisation type],materials_notes[[#This Row],[Row nr]]))),$B$53,"")</f>
        <v/>
      </c>
      <c r="E261" s="111" t="str">
        <f>IF(AND(organisation_name="yes",LEN(INDEX(materials[Description],materials_notes[[#This Row],[Row nr]]))&gt;0,LEN(INDEX(materials[Organisation type],materials_notes[[#This Row],[Row nr]]))&gt;0,ISBLANK(INDEX(materials[Name organisation],materials_notes[[#This Row],[Row nr]]))),$B$54,"")</f>
        <v/>
      </c>
      <c r="F261" s="111" t="str" cm="1">
        <f t="array" ref="F261">IF(AND(INDEX(materials[Amount],materials_notes[[#This Row],[Row nr]])&gt;0,SUM(materials[Amount])&gt;Mat_max_amount),$B$77,"")</f>
        <v/>
      </c>
      <c r="G261" s="111" t="str" cm="1">
        <f t="array" aca="1" ref="G261" ca="1">IF(AND(INDEX(materials[Amount],materials_notes[[#This Row],[Row nr]])&gt;0,SUM(materials[Amount])&gt;mat_maxperc_pers*Total_personnel_costs),$B$78,"")</f>
        <v/>
      </c>
      <c r="H261" s="111" t="str">
        <f>IF(AND(LEN(INDEX(materials[Description],materials_notes[[#This Row],[Row nr]]))&gt;0,INDEX(materials[Organisation type],materials_notes[[#This Row],[Row nr]])=pers_int_listname,SUMIF(materials[Organisation type],pers_int_listname,materials[Amount])&gt;mat_int_maxperc*Total_material_costs),$B$79,"")</f>
        <v/>
      </c>
      <c r="I261" s="111" t="str">
        <f>IF(AND(LEN(INDEX(materials[Description],materials_notes[[#This Row],[Row nr]]))&gt;0,LEN(INDEX(materials[Amount],materials_notes[[#This Row],[Row nr]]))=0),$B$80,"")</f>
        <v/>
      </c>
    </row>
    <row r="262" spans="1:9" outlineLevel="1" x14ac:dyDescent="0.3">
      <c r="A262" s="217">
        <v>17</v>
      </c>
      <c r="B262" s="217" t="str" cm="1">
        <f t="array" aca="1" ref="B262" ca="1">IFERROR(INDEX(materials_notes[[#This Row],[Empty line]:[Amount not specified]],1,MATCH(TRUE,LEN(materials_notes[[#This Row],[Empty line]:[Amount not specified]])&gt;0,0)),"")</f>
        <v/>
      </c>
      <c r="C262" s="111" t="str">
        <f>IFERROR(IF(AND(empty_lines="no",LEN(INDEX(materials[Description],materials_notes[[#This Row],[Row nr]]))=0,LEN(INDEX(materials[Description],materials_notes[[#This Row],[Row nr]]+1))&gt;0),$B$36,""),"")</f>
        <v/>
      </c>
      <c r="D262" s="111" t="str">
        <f>IF(AND(organisation_type="yes",LEN(INDEX(materials[Description],materials_notes[[#This Row],[Row nr]]))&gt;0,ISBLANK(INDEX(materials[Organisation type],materials_notes[[#This Row],[Row nr]]))),$B$53,"")</f>
        <v/>
      </c>
      <c r="E262" s="111" t="str">
        <f>IF(AND(organisation_name="yes",LEN(INDEX(materials[Description],materials_notes[[#This Row],[Row nr]]))&gt;0,LEN(INDEX(materials[Organisation type],materials_notes[[#This Row],[Row nr]]))&gt;0,ISBLANK(INDEX(materials[Name organisation],materials_notes[[#This Row],[Row nr]]))),$B$54,"")</f>
        <v/>
      </c>
      <c r="F262" s="111" t="str" cm="1">
        <f t="array" ref="F262">IF(AND(INDEX(materials[Amount],materials_notes[[#This Row],[Row nr]])&gt;0,SUM(materials[Amount])&gt;Mat_max_amount),$B$77,"")</f>
        <v/>
      </c>
      <c r="G262" s="111" t="str" cm="1">
        <f t="array" aca="1" ref="G262" ca="1">IF(AND(INDEX(materials[Amount],materials_notes[[#This Row],[Row nr]])&gt;0,SUM(materials[Amount])&gt;mat_maxperc_pers*Total_personnel_costs),$B$78,"")</f>
        <v/>
      </c>
      <c r="H262" s="111" t="str">
        <f>IF(AND(LEN(INDEX(materials[Description],materials_notes[[#This Row],[Row nr]]))&gt;0,INDEX(materials[Organisation type],materials_notes[[#This Row],[Row nr]])=pers_int_listname,SUMIF(materials[Organisation type],pers_int_listname,materials[Amount])&gt;mat_int_maxperc*Total_material_costs),$B$79,"")</f>
        <v/>
      </c>
      <c r="I262" s="111" t="str">
        <f>IF(AND(LEN(INDEX(materials[Description],materials_notes[[#This Row],[Row nr]]))&gt;0,LEN(INDEX(materials[Amount],materials_notes[[#This Row],[Row nr]]))=0),$B$80,"")</f>
        <v/>
      </c>
    </row>
    <row r="263" spans="1:9" outlineLevel="1" x14ac:dyDescent="0.3">
      <c r="A263" s="217">
        <v>18</v>
      </c>
      <c r="B263" s="217" t="str" cm="1">
        <f t="array" aca="1" ref="B263" ca="1">IFERROR(INDEX(materials_notes[[#This Row],[Empty line]:[Amount not specified]],1,MATCH(TRUE,LEN(materials_notes[[#This Row],[Empty line]:[Amount not specified]])&gt;0,0)),"")</f>
        <v/>
      </c>
      <c r="C263" s="111" t="str">
        <f>IFERROR(IF(AND(empty_lines="no",LEN(INDEX(materials[Description],materials_notes[[#This Row],[Row nr]]))=0,LEN(INDEX(materials[Description],materials_notes[[#This Row],[Row nr]]+1))&gt;0),$B$36,""),"")</f>
        <v/>
      </c>
      <c r="D263" s="111" t="str">
        <f>IF(AND(organisation_type="yes",LEN(INDEX(materials[Description],materials_notes[[#This Row],[Row nr]]))&gt;0,ISBLANK(INDEX(materials[Organisation type],materials_notes[[#This Row],[Row nr]]))),$B$53,"")</f>
        <v/>
      </c>
      <c r="E263" s="111" t="str">
        <f>IF(AND(organisation_name="yes",LEN(INDEX(materials[Description],materials_notes[[#This Row],[Row nr]]))&gt;0,LEN(INDEX(materials[Organisation type],materials_notes[[#This Row],[Row nr]]))&gt;0,ISBLANK(INDEX(materials[Name organisation],materials_notes[[#This Row],[Row nr]]))),$B$54,"")</f>
        <v/>
      </c>
      <c r="F263" s="111" t="str" cm="1">
        <f t="array" ref="F263">IF(AND(INDEX(materials[Amount],materials_notes[[#This Row],[Row nr]])&gt;0,SUM(materials[Amount])&gt;Mat_max_amount),$B$77,"")</f>
        <v/>
      </c>
      <c r="G263" s="111" t="str" cm="1">
        <f t="array" aca="1" ref="G263" ca="1">IF(AND(INDEX(materials[Amount],materials_notes[[#This Row],[Row nr]])&gt;0,SUM(materials[Amount])&gt;mat_maxperc_pers*Total_personnel_costs),$B$78,"")</f>
        <v/>
      </c>
      <c r="H263" s="111" t="str">
        <f>IF(AND(LEN(INDEX(materials[Description],materials_notes[[#This Row],[Row nr]]))&gt;0,INDEX(materials[Organisation type],materials_notes[[#This Row],[Row nr]])=pers_int_listname,SUMIF(materials[Organisation type],pers_int_listname,materials[Amount])&gt;mat_int_maxperc*Total_material_costs),$B$79,"")</f>
        <v/>
      </c>
      <c r="I263" s="111" t="str">
        <f>IF(AND(LEN(INDEX(materials[Description],materials_notes[[#This Row],[Row nr]]))&gt;0,LEN(INDEX(materials[Amount],materials_notes[[#This Row],[Row nr]]))=0),$B$80,"")</f>
        <v/>
      </c>
    </row>
    <row r="264" spans="1:9" outlineLevel="1" x14ac:dyDescent="0.3">
      <c r="A264" s="217">
        <v>19</v>
      </c>
      <c r="B264" s="217" t="str" cm="1">
        <f t="array" aca="1" ref="B264" ca="1">IFERROR(INDEX(materials_notes[[#This Row],[Empty line]:[Amount not specified]],1,MATCH(TRUE,LEN(materials_notes[[#This Row],[Empty line]:[Amount not specified]])&gt;0,0)),"")</f>
        <v/>
      </c>
      <c r="C264" s="111" t="str">
        <f>IFERROR(IF(AND(empty_lines="no",LEN(INDEX(materials[Description],materials_notes[[#This Row],[Row nr]]))=0,LEN(INDEX(materials[Description],materials_notes[[#This Row],[Row nr]]+1))&gt;0),$B$36,""),"")</f>
        <v/>
      </c>
      <c r="D264" s="111" t="str">
        <f>IF(AND(organisation_type="yes",LEN(INDEX(materials[Description],materials_notes[[#This Row],[Row nr]]))&gt;0,ISBLANK(INDEX(materials[Organisation type],materials_notes[[#This Row],[Row nr]]))),$B$53,"")</f>
        <v/>
      </c>
      <c r="E264" s="111" t="str">
        <f>IF(AND(organisation_name="yes",LEN(INDEX(materials[Description],materials_notes[[#This Row],[Row nr]]))&gt;0,LEN(INDEX(materials[Organisation type],materials_notes[[#This Row],[Row nr]]))&gt;0,ISBLANK(INDEX(materials[Name organisation],materials_notes[[#This Row],[Row nr]]))),$B$54,"")</f>
        <v/>
      </c>
      <c r="F264" s="111" t="str" cm="1">
        <f t="array" ref="F264">IF(AND(INDEX(materials[Amount],materials_notes[[#This Row],[Row nr]])&gt;0,SUM(materials[Amount])&gt;Mat_max_amount),$B$77,"")</f>
        <v/>
      </c>
      <c r="G264" s="111" t="str" cm="1">
        <f t="array" aca="1" ref="G264" ca="1">IF(AND(INDEX(materials[Amount],materials_notes[[#This Row],[Row nr]])&gt;0,SUM(materials[Amount])&gt;mat_maxperc_pers*Total_personnel_costs),$B$78,"")</f>
        <v/>
      </c>
      <c r="H264" s="111" t="str">
        <f>IF(AND(LEN(INDEX(materials[Description],materials_notes[[#This Row],[Row nr]]))&gt;0,INDEX(materials[Organisation type],materials_notes[[#This Row],[Row nr]])=pers_int_listname,SUMIF(materials[Organisation type],pers_int_listname,materials[Amount])&gt;mat_int_maxperc*Total_material_costs),$B$79,"")</f>
        <v/>
      </c>
      <c r="I264" s="111" t="str">
        <f>IF(AND(LEN(INDEX(materials[Description],materials_notes[[#This Row],[Row nr]]))&gt;0,LEN(INDEX(materials[Amount],materials_notes[[#This Row],[Row nr]]))=0),$B$80,"")</f>
        <v/>
      </c>
    </row>
    <row r="265" spans="1:9" outlineLevel="1" x14ac:dyDescent="0.3">
      <c r="A265" s="217">
        <v>20</v>
      </c>
      <c r="B265" s="217" t="str" cm="1">
        <f t="array" aca="1" ref="B265" ca="1">IFERROR(INDEX(materials_notes[[#This Row],[Empty line]:[Amount not specified]],1,MATCH(TRUE,LEN(materials_notes[[#This Row],[Empty line]:[Amount not specified]])&gt;0,0)),"")</f>
        <v/>
      </c>
      <c r="C265" s="111" t="str">
        <f>IFERROR(IF(AND(empty_lines="no",LEN(INDEX(materials[Description],materials_notes[[#This Row],[Row nr]]))=0,LEN(INDEX(materials[Description],materials_notes[[#This Row],[Row nr]]+1))&gt;0),$B$36,""),"")</f>
        <v/>
      </c>
      <c r="D265" s="111" t="str">
        <f>IF(AND(organisation_type="yes",LEN(INDEX(materials[Description],materials_notes[[#This Row],[Row nr]]))&gt;0,ISBLANK(INDEX(materials[Organisation type],materials_notes[[#This Row],[Row nr]]))),$B$53,"")</f>
        <v/>
      </c>
      <c r="E265" s="111" t="str">
        <f>IF(AND(organisation_name="yes",LEN(INDEX(materials[Description],materials_notes[[#This Row],[Row nr]]))&gt;0,LEN(INDEX(materials[Organisation type],materials_notes[[#This Row],[Row nr]]))&gt;0,ISBLANK(INDEX(materials[Name organisation],materials_notes[[#This Row],[Row nr]]))),$B$54,"")</f>
        <v/>
      </c>
      <c r="F265" s="111" t="str" cm="1">
        <f t="array" ref="F265">IF(AND(INDEX(materials[Amount],materials_notes[[#This Row],[Row nr]])&gt;0,SUM(materials[Amount])&gt;Mat_max_amount),$B$77,"")</f>
        <v/>
      </c>
      <c r="G265" s="111" t="str" cm="1">
        <f t="array" aca="1" ref="G265" ca="1">IF(AND(INDEX(materials[Amount],materials_notes[[#This Row],[Row nr]])&gt;0,SUM(materials[Amount])&gt;mat_maxperc_pers*Total_personnel_costs),$B$78,"")</f>
        <v/>
      </c>
      <c r="H265" s="111" t="str">
        <f>IF(AND(LEN(INDEX(materials[Description],materials_notes[[#This Row],[Row nr]]))&gt;0,INDEX(materials[Organisation type],materials_notes[[#This Row],[Row nr]])=pers_int_listname,SUMIF(materials[Organisation type],pers_int_listname,materials[Amount])&gt;mat_int_maxperc*Total_material_costs),$B$79,"")</f>
        <v/>
      </c>
      <c r="I265" s="111" t="str">
        <f>IF(AND(LEN(INDEX(materials[Description],materials_notes[[#This Row],[Row nr]]))&gt;0,LEN(INDEX(materials[Amount],materials_notes[[#This Row],[Row nr]]))=0),$B$80,"")</f>
        <v/>
      </c>
    </row>
    <row r="266" spans="1:9" outlineLevel="1" x14ac:dyDescent="0.3">
      <c r="A266" s="217">
        <v>21</v>
      </c>
      <c r="B266" s="217" t="str" cm="1">
        <f t="array" aca="1" ref="B266" ca="1">IFERROR(INDEX(materials_notes[[#This Row],[Empty line]:[Amount not specified]],1,MATCH(TRUE,LEN(materials_notes[[#This Row],[Empty line]:[Amount not specified]])&gt;0,0)),"")</f>
        <v/>
      </c>
      <c r="C266" s="111" t="str">
        <f>IFERROR(IF(AND(empty_lines="no",LEN(INDEX(materials[Description],materials_notes[[#This Row],[Row nr]]))=0,LEN(INDEX(materials[Description],materials_notes[[#This Row],[Row nr]]+1))&gt;0),$B$36,""),"")</f>
        <v/>
      </c>
      <c r="D266" s="111" t="str">
        <f>IF(AND(organisation_type="yes",LEN(INDEX(materials[Description],materials_notes[[#This Row],[Row nr]]))&gt;0,ISBLANK(INDEX(materials[Organisation type],materials_notes[[#This Row],[Row nr]]))),$B$53,"")</f>
        <v/>
      </c>
      <c r="E266" s="111" t="str">
        <f>IF(AND(organisation_name="yes",LEN(INDEX(materials[Description],materials_notes[[#This Row],[Row nr]]))&gt;0,LEN(INDEX(materials[Organisation type],materials_notes[[#This Row],[Row nr]]))&gt;0,ISBLANK(INDEX(materials[Name organisation],materials_notes[[#This Row],[Row nr]]))),$B$54,"")</f>
        <v/>
      </c>
      <c r="F266" s="111" t="str" cm="1">
        <f t="array" ref="F266">IF(AND(INDEX(materials[Amount],materials_notes[[#This Row],[Row nr]])&gt;0,SUM(materials[Amount])&gt;Mat_max_amount),$B$77,"")</f>
        <v/>
      </c>
      <c r="G266" s="111" t="str" cm="1">
        <f t="array" aca="1" ref="G266" ca="1">IF(AND(INDEX(materials[Amount],materials_notes[[#This Row],[Row nr]])&gt;0,SUM(materials[Amount])&gt;mat_maxperc_pers*Total_personnel_costs),$B$78,"")</f>
        <v/>
      </c>
      <c r="H266" s="111" t="str">
        <f>IF(AND(LEN(INDEX(materials[Description],materials_notes[[#This Row],[Row nr]]))&gt;0,INDEX(materials[Organisation type],materials_notes[[#This Row],[Row nr]])=pers_int_listname,SUMIF(materials[Organisation type],pers_int_listname,materials[Amount])&gt;mat_int_maxperc*Total_material_costs),$B$79,"")</f>
        <v/>
      </c>
      <c r="I266" s="111" t="str">
        <f>IF(AND(LEN(INDEX(materials[Description],materials_notes[[#This Row],[Row nr]]))&gt;0,LEN(INDEX(materials[Amount],materials_notes[[#This Row],[Row nr]]))=0),$B$80,"")</f>
        <v/>
      </c>
    </row>
    <row r="267" spans="1:9" outlineLevel="1" x14ac:dyDescent="0.3">
      <c r="A267" s="217">
        <v>22</v>
      </c>
      <c r="B267" s="217" t="str" cm="1">
        <f t="array" aca="1" ref="B267" ca="1">IFERROR(INDEX(materials_notes[[#This Row],[Empty line]:[Amount not specified]],1,MATCH(TRUE,LEN(materials_notes[[#This Row],[Empty line]:[Amount not specified]])&gt;0,0)),"")</f>
        <v/>
      </c>
      <c r="C267" s="111" t="str">
        <f>IFERROR(IF(AND(empty_lines="no",LEN(INDEX(materials[Description],materials_notes[[#This Row],[Row nr]]))=0,LEN(INDEX(materials[Description],materials_notes[[#This Row],[Row nr]]+1))&gt;0),$B$36,""),"")</f>
        <v/>
      </c>
      <c r="D267" s="111" t="str">
        <f>IF(AND(organisation_type="yes",LEN(INDEX(materials[Description],materials_notes[[#This Row],[Row nr]]))&gt;0,ISBLANK(INDEX(materials[Organisation type],materials_notes[[#This Row],[Row nr]]))),$B$53,"")</f>
        <v/>
      </c>
      <c r="E267" s="111" t="str">
        <f>IF(AND(organisation_name="yes",LEN(INDEX(materials[Description],materials_notes[[#This Row],[Row nr]]))&gt;0,LEN(INDEX(materials[Organisation type],materials_notes[[#This Row],[Row nr]]))&gt;0,ISBLANK(INDEX(materials[Name organisation],materials_notes[[#This Row],[Row nr]]))),$B$54,"")</f>
        <v/>
      </c>
      <c r="F267" s="111" t="str" cm="1">
        <f t="array" ref="F267">IF(AND(INDEX(materials[Amount],materials_notes[[#This Row],[Row nr]])&gt;0,SUM(materials[Amount])&gt;Mat_max_amount),$B$77,"")</f>
        <v/>
      </c>
      <c r="G267" s="111" t="str" cm="1">
        <f t="array" aca="1" ref="G267" ca="1">IF(AND(INDEX(materials[Amount],materials_notes[[#This Row],[Row nr]])&gt;0,SUM(materials[Amount])&gt;mat_maxperc_pers*Total_personnel_costs),$B$78,"")</f>
        <v/>
      </c>
      <c r="H267" s="111" t="str">
        <f>IF(AND(LEN(INDEX(materials[Description],materials_notes[[#This Row],[Row nr]]))&gt;0,INDEX(materials[Organisation type],materials_notes[[#This Row],[Row nr]])=pers_int_listname,SUMIF(materials[Organisation type],pers_int_listname,materials[Amount])&gt;mat_int_maxperc*Total_material_costs),$B$79,"")</f>
        <v/>
      </c>
      <c r="I267" s="111" t="str">
        <f>IF(AND(LEN(INDEX(materials[Description],materials_notes[[#This Row],[Row nr]]))&gt;0,LEN(INDEX(materials[Amount],materials_notes[[#This Row],[Row nr]]))=0),$B$80,"")</f>
        <v/>
      </c>
    </row>
    <row r="268" spans="1:9" outlineLevel="1" x14ac:dyDescent="0.3">
      <c r="A268" s="217">
        <v>23</v>
      </c>
      <c r="B268" s="217" t="str" cm="1">
        <f t="array" aca="1" ref="B268" ca="1">IFERROR(INDEX(materials_notes[[#This Row],[Empty line]:[Amount not specified]],1,MATCH(TRUE,LEN(materials_notes[[#This Row],[Empty line]:[Amount not specified]])&gt;0,0)),"")</f>
        <v/>
      </c>
      <c r="C268" s="111" t="str">
        <f>IFERROR(IF(AND(empty_lines="no",LEN(INDEX(materials[Description],materials_notes[[#This Row],[Row nr]]))=0,LEN(INDEX(materials[Description],materials_notes[[#This Row],[Row nr]]+1))&gt;0),$B$36,""),"")</f>
        <v/>
      </c>
      <c r="D268" s="111" t="str">
        <f>IF(AND(organisation_type="yes",LEN(INDEX(materials[Description],materials_notes[[#This Row],[Row nr]]))&gt;0,ISBLANK(INDEX(materials[Organisation type],materials_notes[[#This Row],[Row nr]]))),$B$53,"")</f>
        <v/>
      </c>
      <c r="E268" s="111" t="str">
        <f>IF(AND(organisation_name="yes",LEN(INDEX(materials[Description],materials_notes[[#This Row],[Row nr]]))&gt;0,LEN(INDEX(materials[Organisation type],materials_notes[[#This Row],[Row nr]]))&gt;0,ISBLANK(INDEX(materials[Name organisation],materials_notes[[#This Row],[Row nr]]))),$B$54,"")</f>
        <v/>
      </c>
      <c r="F268" s="111" t="str" cm="1">
        <f t="array" ref="F268">IF(AND(INDEX(materials[Amount],materials_notes[[#This Row],[Row nr]])&gt;0,SUM(materials[Amount])&gt;Mat_max_amount),$B$77,"")</f>
        <v/>
      </c>
      <c r="G268" s="111" t="str" cm="1">
        <f t="array" aca="1" ref="G268" ca="1">IF(AND(INDEX(materials[Amount],materials_notes[[#This Row],[Row nr]])&gt;0,SUM(materials[Amount])&gt;mat_maxperc_pers*Total_personnel_costs),$B$78,"")</f>
        <v/>
      </c>
      <c r="H268" s="111" t="str">
        <f>IF(AND(LEN(INDEX(materials[Description],materials_notes[[#This Row],[Row nr]]))&gt;0,INDEX(materials[Organisation type],materials_notes[[#This Row],[Row nr]])=pers_int_listname,SUMIF(materials[Organisation type],pers_int_listname,materials[Amount])&gt;mat_int_maxperc*Total_material_costs),$B$79,"")</f>
        <v/>
      </c>
      <c r="I268" s="111" t="str">
        <f>IF(AND(LEN(INDEX(materials[Description],materials_notes[[#This Row],[Row nr]]))&gt;0,LEN(INDEX(materials[Amount],materials_notes[[#This Row],[Row nr]]))=0),$B$80,"")</f>
        <v/>
      </c>
    </row>
    <row r="269" spans="1:9" outlineLevel="1" x14ac:dyDescent="0.3">
      <c r="A269" s="217">
        <v>24</v>
      </c>
      <c r="B269" s="217" t="str" cm="1">
        <f t="array" aca="1" ref="B269" ca="1">IFERROR(INDEX(materials_notes[[#This Row],[Empty line]:[Amount not specified]],1,MATCH(TRUE,LEN(materials_notes[[#This Row],[Empty line]:[Amount not specified]])&gt;0,0)),"")</f>
        <v/>
      </c>
      <c r="C269" s="111" t="str">
        <f>IFERROR(IF(AND(empty_lines="no",LEN(INDEX(materials[Description],materials_notes[[#This Row],[Row nr]]))=0,LEN(INDEX(materials[Description],materials_notes[[#This Row],[Row nr]]+1))&gt;0),$B$36,""),"")</f>
        <v/>
      </c>
      <c r="D269" s="111" t="str">
        <f>IF(AND(organisation_type="yes",LEN(INDEX(materials[Description],materials_notes[[#This Row],[Row nr]]))&gt;0,ISBLANK(INDEX(materials[Organisation type],materials_notes[[#This Row],[Row nr]]))),$B$53,"")</f>
        <v/>
      </c>
      <c r="E269" s="111" t="str">
        <f>IF(AND(organisation_name="yes",LEN(INDEX(materials[Description],materials_notes[[#This Row],[Row nr]]))&gt;0,LEN(INDEX(materials[Organisation type],materials_notes[[#This Row],[Row nr]]))&gt;0,ISBLANK(INDEX(materials[Name organisation],materials_notes[[#This Row],[Row nr]]))),$B$54,"")</f>
        <v/>
      </c>
      <c r="F269" s="111" t="str" cm="1">
        <f t="array" ref="F269">IF(AND(INDEX(materials[Amount],materials_notes[[#This Row],[Row nr]])&gt;0,SUM(materials[Amount])&gt;Mat_max_amount),$B$77,"")</f>
        <v/>
      </c>
      <c r="G269" s="111" t="str" cm="1">
        <f t="array" aca="1" ref="G269" ca="1">IF(AND(INDEX(materials[Amount],materials_notes[[#This Row],[Row nr]])&gt;0,SUM(materials[Amount])&gt;mat_maxperc_pers*Total_personnel_costs),$B$78,"")</f>
        <v/>
      </c>
      <c r="H269" s="111" t="str">
        <f>IF(AND(LEN(INDEX(materials[Description],materials_notes[[#This Row],[Row nr]]))&gt;0,INDEX(materials[Organisation type],materials_notes[[#This Row],[Row nr]])=pers_int_listname,SUMIF(materials[Organisation type],pers_int_listname,materials[Amount])&gt;mat_int_maxperc*Total_material_costs),$B$79,"")</f>
        <v/>
      </c>
      <c r="I269" s="111" t="str">
        <f>IF(AND(LEN(INDEX(materials[Description],materials_notes[[#This Row],[Row nr]]))&gt;0,LEN(INDEX(materials[Amount],materials_notes[[#This Row],[Row nr]]))=0),$B$80,"")</f>
        <v/>
      </c>
    </row>
    <row r="270" spans="1:9" outlineLevel="1" x14ac:dyDescent="0.3">
      <c r="A270" s="217">
        <v>25</v>
      </c>
      <c r="B270" s="217" t="str" cm="1">
        <f t="array" aca="1" ref="B270" ca="1">IFERROR(INDEX(materials_notes[[#This Row],[Empty line]:[Amount not specified]],1,MATCH(TRUE,LEN(materials_notes[[#This Row],[Empty line]:[Amount not specified]])&gt;0,0)),"")</f>
        <v/>
      </c>
      <c r="C270" s="111" t="str">
        <f>IFERROR(IF(AND(empty_lines="no",LEN(INDEX(materials[Description],materials_notes[[#This Row],[Row nr]]))=0,LEN(INDEX(materials[Description],materials_notes[[#This Row],[Row nr]]+1))&gt;0),$B$36,""),"")</f>
        <v/>
      </c>
      <c r="D270" s="111" t="str">
        <f>IF(AND(organisation_type="yes",LEN(INDEX(materials[Description],materials_notes[[#This Row],[Row nr]]))&gt;0,ISBLANK(INDEX(materials[Organisation type],materials_notes[[#This Row],[Row nr]]))),$B$53,"")</f>
        <v/>
      </c>
      <c r="E270" s="111" t="str">
        <f>IF(AND(organisation_name="yes",LEN(INDEX(materials[Description],materials_notes[[#This Row],[Row nr]]))&gt;0,LEN(INDEX(materials[Organisation type],materials_notes[[#This Row],[Row nr]]))&gt;0,ISBLANK(INDEX(materials[Name organisation],materials_notes[[#This Row],[Row nr]]))),$B$54,"")</f>
        <v/>
      </c>
      <c r="F270" s="111" t="str" cm="1">
        <f t="array" ref="F270">IF(AND(INDEX(materials[Amount],materials_notes[[#This Row],[Row nr]])&gt;0,SUM(materials[Amount])&gt;Mat_max_amount),$B$77,"")</f>
        <v/>
      </c>
      <c r="G270" s="111" t="str" cm="1">
        <f t="array" aca="1" ref="G270" ca="1">IF(AND(INDEX(materials[Amount],materials_notes[[#This Row],[Row nr]])&gt;0,SUM(materials[Amount])&gt;mat_maxperc_pers*Total_personnel_costs),$B$78,"")</f>
        <v/>
      </c>
      <c r="H270" s="111" t="str">
        <f>IF(AND(LEN(INDEX(materials[Description],materials_notes[[#This Row],[Row nr]]))&gt;0,INDEX(materials[Organisation type],materials_notes[[#This Row],[Row nr]])=pers_int_listname,SUMIF(materials[Organisation type],pers_int_listname,materials[Amount])&gt;mat_int_maxperc*Total_material_costs),$B$79,"")</f>
        <v/>
      </c>
      <c r="I270" s="111" t="str">
        <f>IF(AND(LEN(INDEX(materials[Description],materials_notes[[#This Row],[Row nr]]))&gt;0,LEN(INDEX(materials[Amount],materials_notes[[#This Row],[Row nr]]))=0),$B$80,"")</f>
        <v/>
      </c>
    </row>
    <row r="273" spans="1:9" ht="18" x14ac:dyDescent="0.35">
      <c r="A273" s="123" t="s">
        <v>757</v>
      </c>
    </row>
    <row r="274" spans="1:9" x14ac:dyDescent="0.3">
      <c r="A274" s="269" t="s">
        <v>532</v>
      </c>
      <c r="B274" s="269" t="s">
        <v>536</v>
      </c>
      <c r="C274" s="166" t="s">
        <v>663</v>
      </c>
      <c r="D274" s="166" t="s">
        <v>744</v>
      </c>
      <c r="E274" s="166" t="s">
        <v>751</v>
      </c>
      <c r="F274" s="166" t="s">
        <v>758</v>
      </c>
      <c r="G274" s="166" t="s">
        <v>761</v>
      </c>
      <c r="H274" s="166" t="s">
        <v>745</v>
      </c>
      <c r="I274" s="166" t="s">
        <v>762</v>
      </c>
    </row>
    <row r="275" spans="1:9" x14ac:dyDescent="0.3">
      <c r="A275" s="265">
        <v>1</v>
      </c>
      <c r="B275" s="217" t="str" cm="1">
        <f t="array" aca="1" ref="B275" ca="1">IFERROR(INDEX(KU_notes[[#This Row],[Empty line]:[Amount not provided]],1,MATCH(TRUE,LEN(KU_notes[[#This Row],[Empty line]:[Amount not provided]])&gt;0,0)),"")</f>
        <v/>
      </c>
      <c r="C275" s="266" t="str">
        <f>IFERROR(IF(AND(empty_lines="no",LEN(INDEX(knowledge_utilisation[Description],KU_notes[[#This Row],[Row nr]]))=0,LEN(INDEX(knowledge_utilisation[Description],KU_notes[[#This Row],[Row nr]]+1))&gt;0),$B$36,""),"")</f>
        <v/>
      </c>
      <c r="D275" s="266" t="str">
        <f>IF(AND(organisation_type="yes",LEN(INDEX(knowledge_utilisation[Description],KU_notes[[#This Row],[Row nr]]))&gt;0,ISBLANK(INDEX(knowledge_utilisation[Organisation type],KU_notes[[#This Row],[Row nr]]))),$B$53,"")</f>
        <v/>
      </c>
      <c r="E275"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75" s="266" t="str" cm="1">
        <f t="array" aca="1" ref="F275" ca="1">IF(AND(INDEX(knowledge_utilisation[Amount],KU_notes[[#This Row],[Row nr]])&gt;0,SUM(knowledge_utilisation[Amount])&lt;KU_minperc*Total_NWO_funding),$B$85,"")</f>
        <v/>
      </c>
      <c r="G275" s="266" t="str" cm="1">
        <f t="array" aca="1" ref="G275" ca="1">IF(AND(INDEX(knowledge_utilisation[Amount],KU_notes[[#This Row],[Row nr]])&gt;0,SUM(knowledge_utilisation[Amount])&gt;KU_maxperc*Total_NWO_funding),$B$86,"")</f>
        <v/>
      </c>
      <c r="H275" s="266" t="str">
        <f>IF(AND(organisation_name="yes",LEN(INDEX(knowledge_utilisation[Description],KU_notes[[#This Row],[Row nr]]))&gt;0,LEN(INDEX(knowledge_utilisation[Organisation type],KU_notes[[#This Row],[Row nr]]))&gt;0,ISBLANK(INDEX(knowledge_utilisation[Name organisation],KU_notes[[#This Row],[Row nr]]))),$B$54,"")</f>
        <v/>
      </c>
      <c r="I275" s="266" t="str">
        <f>IF(AND(LEN(INDEX(knowledge_utilisation[Description],KU_notes[[#This Row],[Row nr]]))&gt;0,INDEX(knowledge_utilisation[Amount],KU_notes[[#This Row],[Row nr]])=0),$B$88,"")</f>
        <v/>
      </c>
    </row>
    <row r="276" spans="1:9" x14ac:dyDescent="0.3">
      <c r="A276" s="267">
        <v>2</v>
      </c>
      <c r="B276" s="217" t="str" cm="1">
        <f t="array" aca="1" ref="B276" ca="1">IFERROR(INDEX(KU_notes[[#This Row],[Empty line]:[Amount not provided]],1,MATCH(TRUE,LEN(KU_notes[[#This Row],[Empty line]:[Amount not provided]])&gt;0,0)),"")</f>
        <v/>
      </c>
      <c r="C276" s="268" t="str">
        <f>IFERROR(IF(AND(empty_lines="no",LEN(INDEX(knowledge_utilisation[Description],KU_notes[[#This Row],[Row nr]]))=0,LEN(INDEX(knowledge_utilisation[Description],KU_notes[[#This Row],[Row nr]]+1))&gt;0),$B$36,""),"")</f>
        <v/>
      </c>
      <c r="D276" s="268" t="str">
        <f>IF(AND(organisation_type="yes",LEN(INDEX(knowledge_utilisation[Description],KU_notes[[#This Row],[Row nr]]))&gt;0,ISBLANK(INDEX(knowledge_utilisation[Organisation type],KU_notes[[#This Row],[Row nr]]))),$B$53,"")</f>
        <v/>
      </c>
      <c r="E276"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76" s="268" t="str" cm="1">
        <f t="array" aca="1" ref="F276" ca="1">IF(AND(INDEX(knowledge_utilisation[Amount],KU_notes[[#This Row],[Row nr]])&gt;0,SUM(knowledge_utilisation[Amount])&lt;KU_minperc*Total_NWO_funding),$B$85,"")</f>
        <v/>
      </c>
      <c r="G276" s="268" t="str" cm="1">
        <f t="array" aca="1" ref="G276" ca="1">IF(AND(INDEX(knowledge_utilisation[Amount],KU_notes[[#This Row],[Row nr]])&gt;0,SUM(knowledge_utilisation[Amount])&gt;KU_maxperc*Total_NWO_funding),$B$86,"")</f>
        <v/>
      </c>
      <c r="H276" s="268" t="str">
        <f>IF(AND(organisation_name="yes",LEN(INDEX(knowledge_utilisation[Description],KU_notes[[#This Row],[Row nr]]))&gt;0,LEN(INDEX(knowledge_utilisation[Organisation type],KU_notes[[#This Row],[Row nr]]))&gt;0,ISBLANK(INDEX(knowledge_utilisation[Name organisation],KU_notes[[#This Row],[Row nr]]))),$B$54,"")</f>
        <v/>
      </c>
      <c r="I276" s="268" t="str">
        <f>IF(AND(LEN(INDEX(knowledge_utilisation[Description],KU_notes[[#This Row],[Row nr]]))&gt;0,INDEX(knowledge_utilisation[Amount],KU_notes[[#This Row],[Row nr]])=0),$B$88,"")</f>
        <v/>
      </c>
    </row>
    <row r="277" spans="1:9" x14ac:dyDescent="0.3">
      <c r="A277" s="265">
        <v>3</v>
      </c>
      <c r="B277" s="217" t="str" cm="1">
        <f t="array" aca="1" ref="B277" ca="1">IFERROR(INDEX(KU_notes[[#This Row],[Empty line]:[Amount not provided]],1,MATCH(TRUE,LEN(KU_notes[[#This Row],[Empty line]:[Amount not provided]])&gt;0,0)),"")</f>
        <v/>
      </c>
      <c r="C277" s="266" t="str">
        <f>IFERROR(IF(AND(empty_lines="no",LEN(INDEX(knowledge_utilisation[Description],KU_notes[[#This Row],[Row nr]]))=0,LEN(INDEX(knowledge_utilisation[Description],KU_notes[[#This Row],[Row nr]]+1))&gt;0),$B$36,""),"")</f>
        <v/>
      </c>
      <c r="D277" s="266" t="str">
        <f>IF(AND(organisation_type="yes",LEN(INDEX(knowledge_utilisation[Description],KU_notes[[#This Row],[Row nr]]))&gt;0,ISBLANK(INDEX(knowledge_utilisation[Organisation type],KU_notes[[#This Row],[Row nr]]))),$B$53,"")</f>
        <v/>
      </c>
      <c r="E277"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77" s="266" t="str" cm="1">
        <f t="array" aca="1" ref="F277" ca="1">IF(AND(INDEX(knowledge_utilisation[Amount],KU_notes[[#This Row],[Row nr]])&gt;0,SUM(knowledge_utilisation[Amount])&lt;KU_minperc*Total_NWO_funding),$B$85,"")</f>
        <v/>
      </c>
      <c r="G277" s="266" t="str" cm="1">
        <f t="array" aca="1" ref="G277" ca="1">IF(AND(INDEX(knowledge_utilisation[Amount],KU_notes[[#This Row],[Row nr]])&gt;0,SUM(knowledge_utilisation[Amount])&gt;KU_maxperc*Total_NWO_funding),$B$86,"")</f>
        <v/>
      </c>
      <c r="H277" s="266" t="str">
        <f>IF(AND(organisation_name="yes",LEN(INDEX(knowledge_utilisation[Description],KU_notes[[#This Row],[Row nr]]))&gt;0,LEN(INDEX(knowledge_utilisation[Organisation type],KU_notes[[#This Row],[Row nr]]))&gt;0,ISBLANK(INDEX(knowledge_utilisation[Name organisation],KU_notes[[#This Row],[Row nr]]))),$B$54,"")</f>
        <v/>
      </c>
      <c r="I277" s="266" t="str">
        <f>IF(AND(LEN(INDEX(knowledge_utilisation[Description],KU_notes[[#This Row],[Row nr]]))&gt;0,INDEX(knowledge_utilisation[Amount],KU_notes[[#This Row],[Row nr]])=0),$B$88,"")</f>
        <v/>
      </c>
    </row>
    <row r="278" spans="1:9" x14ac:dyDescent="0.3">
      <c r="A278" s="267">
        <v>4</v>
      </c>
      <c r="B278" s="217" t="str" cm="1">
        <f t="array" aca="1" ref="B278" ca="1">IFERROR(INDEX(KU_notes[[#This Row],[Empty line]:[Amount not provided]],1,MATCH(TRUE,LEN(KU_notes[[#This Row],[Empty line]:[Amount not provided]])&gt;0,0)),"")</f>
        <v/>
      </c>
      <c r="C278" s="268" t="str">
        <f>IFERROR(IF(AND(empty_lines="no",LEN(INDEX(knowledge_utilisation[Description],KU_notes[[#This Row],[Row nr]]))=0,LEN(INDEX(knowledge_utilisation[Description],KU_notes[[#This Row],[Row nr]]+1))&gt;0),$B$36,""),"")</f>
        <v/>
      </c>
      <c r="D278" s="268" t="str">
        <f>IF(AND(organisation_type="yes",LEN(INDEX(knowledge_utilisation[Description],KU_notes[[#This Row],[Row nr]]))&gt;0,ISBLANK(INDEX(knowledge_utilisation[Organisation type],KU_notes[[#This Row],[Row nr]]))),$B$53,"")</f>
        <v/>
      </c>
      <c r="E278"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78" s="268" t="str" cm="1">
        <f t="array" aca="1" ref="F278" ca="1">IF(AND(INDEX(knowledge_utilisation[Amount],KU_notes[[#This Row],[Row nr]])&gt;0,SUM(knowledge_utilisation[Amount])&lt;KU_minperc*Total_NWO_funding),$B$85,"")</f>
        <v/>
      </c>
      <c r="G278" s="268" t="str" cm="1">
        <f t="array" aca="1" ref="G278" ca="1">IF(AND(INDEX(knowledge_utilisation[Amount],KU_notes[[#This Row],[Row nr]])&gt;0,SUM(knowledge_utilisation[Amount])&gt;KU_maxperc*Total_NWO_funding),$B$86,"")</f>
        <v/>
      </c>
      <c r="H278" s="268" t="str">
        <f>IF(AND(organisation_name="yes",LEN(INDEX(knowledge_utilisation[Description],KU_notes[[#This Row],[Row nr]]))&gt;0,LEN(INDEX(knowledge_utilisation[Organisation type],KU_notes[[#This Row],[Row nr]]))&gt;0,ISBLANK(INDEX(knowledge_utilisation[Name organisation],KU_notes[[#This Row],[Row nr]]))),$B$54,"")</f>
        <v/>
      </c>
      <c r="I278" s="268" t="str">
        <f>IF(AND(LEN(INDEX(knowledge_utilisation[Description],KU_notes[[#This Row],[Row nr]]))&gt;0,INDEX(knowledge_utilisation[Amount],KU_notes[[#This Row],[Row nr]])=0),$B$88,"")</f>
        <v/>
      </c>
    </row>
    <row r="279" spans="1:9" x14ac:dyDescent="0.3">
      <c r="A279" s="265">
        <v>5</v>
      </c>
      <c r="B279" s="217" t="str" cm="1">
        <f t="array" aca="1" ref="B279" ca="1">IFERROR(INDEX(KU_notes[[#This Row],[Empty line]:[Amount not provided]],1,MATCH(TRUE,LEN(KU_notes[[#This Row],[Empty line]:[Amount not provided]])&gt;0,0)),"")</f>
        <v/>
      </c>
      <c r="C279" s="266" t="str">
        <f>IFERROR(IF(AND(empty_lines="no",LEN(INDEX(knowledge_utilisation[Description],KU_notes[[#This Row],[Row nr]]))=0,LEN(INDEX(knowledge_utilisation[Description],KU_notes[[#This Row],[Row nr]]+1))&gt;0),$B$36,""),"")</f>
        <v/>
      </c>
      <c r="D279" s="266" t="str">
        <f>IF(AND(organisation_type="yes",LEN(INDEX(knowledge_utilisation[Description],KU_notes[[#This Row],[Row nr]]))&gt;0,ISBLANK(INDEX(knowledge_utilisation[Organisation type],KU_notes[[#This Row],[Row nr]]))),$B$53,"")</f>
        <v/>
      </c>
      <c r="E279"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79" s="266" t="str" cm="1">
        <f t="array" aca="1" ref="F279" ca="1">IF(AND(INDEX(knowledge_utilisation[Amount],KU_notes[[#This Row],[Row nr]])&gt;0,SUM(knowledge_utilisation[Amount])&lt;KU_minperc*Total_NWO_funding),$B$85,"")</f>
        <v/>
      </c>
      <c r="G279" s="266" t="str" cm="1">
        <f t="array" aca="1" ref="G279" ca="1">IF(AND(INDEX(knowledge_utilisation[Amount],KU_notes[[#This Row],[Row nr]])&gt;0,SUM(knowledge_utilisation[Amount])&gt;KU_maxperc*Total_NWO_funding),$B$86,"")</f>
        <v/>
      </c>
      <c r="H279" s="266" t="str">
        <f>IF(AND(organisation_name="yes",LEN(INDEX(knowledge_utilisation[Description],KU_notes[[#This Row],[Row nr]]))&gt;0,LEN(INDEX(knowledge_utilisation[Organisation type],KU_notes[[#This Row],[Row nr]]))&gt;0,ISBLANK(INDEX(knowledge_utilisation[Name organisation],KU_notes[[#This Row],[Row nr]]))),$B$54,"")</f>
        <v/>
      </c>
      <c r="I279" s="266" t="str">
        <f>IF(AND(LEN(INDEX(knowledge_utilisation[Description],KU_notes[[#This Row],[Row nr]]))&gt;0,INDEX(knowledge_utilisation[Amount],KU_notes[[#This Row],[Row nr]])=0),$B$88,"")</f>
        <v/>
      </c>
    </row>
    <row r="280" spans="1:9" x14ac:dyDescent="0.3">
      <c r="A280" s="267">
        <v>6</v>
      </c>
      <c r="B280" s="217" t="str" cm="1">
        <f t="array" aca="1" ref="B280" ca="1">IFERROR(INDEX(KU_notes[[#This Row],[Empty line]:[Amount not provided]],1,MATCH(TRUE,LEN(KU_notes[[#This Row],[Empty line]:[Amount not provided]])&gt;0,0)),"")</f>
        <v/>
      </c>
      <c r="C280" s="268" t="str">
        <f>IFERROR(IF(AND(empty_lines="no",LEN(INDEX(knowledge_utilisation[Description],KU_notes[[#This Row],[Row nr]]))=0,LEN(INDEX(knowledge_utilisation[Description],KU_notes[[#This Row],[Row nr]]+1))&gt;0),$B$36,""),"")</f>
        <v/>
      </c>
      <c r="D280" s="268" t="str">
        <f>IF(AND(organisation_type="yes",LEN(INDEX(knowledge_utilisation[Description],KU_notes[[#This Row],[Row nr]]))&gt;0,ISBLANK(INDEX(knowledge_utilisation[Organisation type],KU_notes[[#This Row],[Row nr]]))),$B$53,"")</f>
        <v/>
      </c>
      <c r="E280"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0" s="268" t="str" cm="1">
        <f t="array" aca="1" ref="F280" ca="1">IF(AND(INDEX(knowledge_utilisation[Amount],KU_notes[[#This Row],[Row nr]])&gt;0,SUM(knowledge_utilisation[Amount])&lt;KU_minperc*Total_NWO_funding),$B$85,"")</f>
        <v/>
      </c>
      <c r="G280" s="268" t="str" cm="1">
        <f t="array" aca="1" ref="G280" ca="1">IF(AND(INDEX(knowledge_utilisation[Amount],KU_notes[[#This Row],[Row nr]])&gt;0,SUM(knowledge_utilisation[Amount])&gt;KU_maxperc*Total_NWO_funding),$B$86,"")</f>
        <v/>
      </c>
      <c r="H280" s="268" t="str">
        <f>IF(AND(organisation_name="yes",LEN(INDEX(knowledge_utilisation[Description],KU_notes[[#This Row],[Row nr]]))&gt;0,LEN(INDEX(knowledge_utilisation[Organisation type],KU_notes[[#This Row],[Row nr]]))&gt;0,ISBLANK(INDEX(knowledge_utilisation[Name organisation],KU_notes[[#This Row],[Row nr]]))),$B$54,"")</f>
        <v/>
      </c>
      <c r="I280" s="268" t="str">
        <f>IF(AND(LEN(INDEX(knowledge_utilisation[Description],KU_notes[[#This Row],[Row nr]]))&gt;0,INDEX(knowledge_utilisation[Amount],KU_notes[[#This Row],[Row nr]])=0),$B$88,"")</f>
        <v/>
      </c>
    </row>
    <row r="281" spans="1:9" x14ac:dyDescent="0.3">
      <c r="A281" s="265">
        <v>7</v>
      </c>
      <c r="B281" s="217" t="str" cm="1">
        <f t="array" aca="1" ref="B281" ca="1">IFERROR(INDEX(KU_notes[[#This Row],[Empty line]:[Amount not provided]],1,MATCH(TRUE,LEN(KU_notes[[#This Row],[Empty line]:[Amount not provided]])&gt;0,0)),"")</f>
        <v/>
      </c>
      <c r="C281" s="266" t="str">
        <f>IFERROR(IF(AND(empty_lines="no",LEN(INDEX(knowledge_utilisation[Description],KU_notes[[#This Row],[Row nr]]))=0,LEN(INDEX(knowledge_utilisation[Description],KU_notes[[#This Row],[Row nr]]+1))&gt;0),$B$36,""),"")</f>
        <v/>
      </c>
      <c r="D281" s="266" t="str">
        <f>IF(AND(organisation_type="yes",LEN(INDEX(knowledge_utilisation[Description],KU_notes[[#This Row],[Row nr]]))&gt;0,ISBLANK(INDEX(knowledge_utilisation[Organisation type],KU_notes[[#This Row],[Row nr]]))),$B$53,"")</f>
        <v/>
      </c>
      <c r="E281"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1" s="266" t="str" cm="1">
        <f t="array" aca="1" ref="F281" ca="1">IF(AND(INDEX(knowledge_utilisation[Amount],KU_notes[[#This Row],[Row nr]])&gt;0,SUM(knowledge_utilisation[Amount])&lt;KU_minperc*Total_NWO_funding),$B$85,"")</f>
        <v/>
      </c>
      <c r="G281" s="266" t="str" cm="1">
        <f t="array" aca="1" ref="G281" ca="1">IF(AND(INDEX(knowledge_utilisation[Amount],KU_notes[[#This Row],[Row nr]])&gt;0,SUM(knowledge_utilisation[Amount])&gt;KU_maxperc*Total_NWO_funding),$B$86,"")</f>
        <v/>
      </c>
      <c r="H281" s="266" t="str">
        <f>IF(AND(organisation_name="yes",LEN(INDEX(knowledge_utilisation[Description],KU_notes[[#This Row],[Row nr]]))&gt;0,LEN(INDEX(knowledge_utilisation[Organisation type],KU_notes[[#This Row],[Row nr]]))&gt;0,ISBLANK(INDEX(knowledge_utilisation[Name organisation],KU_notes[[#This Row],[Row nr]]))),$B$54,"")</f>
        <v/>
      </c>
      <c r="I281" s="266" t="str">
        <f>IF(AND(LEN(INDEX(knowledge_utilisation[Description],KU_notes[[#This Row],[Row nr]]))&gt;0,INDEX(knowledge_utilisation[Amount],KU_notes[[#This Row],[Row nr]])=0),$B$88,"")</f>
        <v/>
      </c>
    </row>
    <row r="282" spans="1:9" x14ac:dyDescent="0.3">
      <c r="A282" s="267">
        <v>8</v>
      </c>
      <c r="B282" s="217" t="str" cm="1">
        <f t="array" aca="1" ref="B282" ca="1">IFERROR(INDEX(KU_notes[[#This Row],[Empty line]:[Amount not provided]],1,MATCH(TRUE,LEN(KU_notes[[#This Row],[Empty line]:[Amount not provided]])&gt;0,0)),"")</f>
        <v/>
      </c>
      <c r="C282" s="268" t="str">
        <f>IFERROR(IF(AND(empty_lines="no",LEN(INDEX(knowledge_utilisation[Description],KU_notes[[#This Row],[Row nr]]))=0,LEN(INDEX(knowledge_utilisation[Description],KU_notes[[#This Row],[Row nr]]+1))&gt;0),$B$36,""),"")</f>
        <v/>
      </c>
      <c r="D282" s="268" t="str">
        <f>IF(AND(organisation_type="yes",LEN(INDEX(knowledge_utilisation[Description],KU_notes[[#This Row],[Row nr]]))&gt;0,ISBLANK(INDEX(knowledge_utilisation[Organisation type],KU_notes[[#This Row],[Row nr]]))),$B$53,"")</f>
        <v/>
      </c>
      <c r="E282"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2" s="268" t="str" cm="1">
        <f t="array" aca="1" ref="F282" ca="1">IF(AND(INDEX(knowledge_utilisation[Amount],KU_notes[[#This Row],[Row nr]])&gt;0,SUM(knowledge_utilisation[Amount])&lt;KU_minperc*Total_NWO_funding),$B$85,"")</f>
        <v/>
      </c>
      <c r="G282" s="268" t="str" cm="1">
        <f t="array" aca="1" ref="G282" ca="1">IF(AND(INDEX(knowledge_utilisation[Amount],KU_notes[[#This Row],[Row nr]])&gt;0,SUM(knowledge_utilisation[Amount])&gt;KU_maxperc*Total_NWO_funding),$B$86,"")</f>
        <v/>
      </c>
      <c r="H282" s="268" t="str">
        <f>IF(AND(organisation_name="yes",LEN(INDEX(knowledge_utilisation[Description],KU_notes[[#This Row],[Row nr]]))&gt;0,LEN(INDEX(knowledge_utilisation[Organisation type],KU_notes[[#This Row],[Row nr]]))&gt;0,ISBLANK(INDEX(knowledge_utilisation[Name organisation],KU_notes[[#This Row],[Row nr]]))),$B$54,"")</f>
        <v/>
      </c>
      <c r="I282" s="268" t="str">
        <f>IF(AND(LEN(INDEX(knowledge_utilisation[Description],KU_notes[[#This Row],[Row nr]]))&gt;0,INDEX(knowledge_utilisation[Amount],KU_notes[[#This Row],[Row nr]])=0),$B$88,"")</f>
        <v/>
      </c>
    </row>
    <row r="283" spans="1:9" x14ac:dyDescent="0.3">
      <c r="A283" s="265">
        <v>9</v>
      </c>
      <c r="B283" s="217" t="str" cm="1">
        <f t="array" aca="1" ref="B283" ca="1">IFERROR(INDEX(KU_notes[[#This Row],[Empty line]:[Amount not provided]],1,MATCH(TRUE,LEN(KU_notes[[#This Row],[Empty line]:[Amount not provided]])&gt;0,0)),"")</f>
        <v/>
      </c>
      <c r="C283" s="266" t="str">
        <f>IFERROR(IF(AND(empty_lines="no",LEN(INDEX(knowledge_utilisation[Description],KU_notes[[#This Row],[Row nr]]))=0,LEN(INDEX(knowledge_utilisation[Description],KU_notes[[#This Row],[Row nr]]+1))&gt;0),$B$36,""),"")</f>
        <v/>
      </c>
      <c r="D283" s="266" t="str">
        <f>IF(AND(organisation_type="yes",LEN(INDEX(knowledge_utilisation[Description],KU_notes[[#This Row],[Row nr]]))&gt;0,ISBLANK(INDEX(knowledge_utilisation[Organisation type],KU_notes[[#This Row],[Row nr]]))),$B$53,"")</f>
        <v/>
      </c>
      <c r="E283"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3" s="266" t="str" cm="1">
        <f t="array" aca="1" ref="F283" ca="1">IF(AND(INDEX(knowledge_utilisation[Amount],KU_notes[[#This Row],[Row nr]])&gt;0,SUM(knowledge_utilisation[Amount])&lt;KU_minperc*Total_NWO_funding),$B$85,"")</f>
        <v/>
      </c>
      <c r="G283" s="266" t="str" cm="1">
        <f t="array" aca="1" ref="G283" ca="1">IF(AND(INDEX(knowledge_utilisation[Amount],KU_notes[[#This Row],[Row nr]])&gt;0,SUM(knowledge_utilisation[Amount])&gt;KU_maxperc*Total_NWO_funding),$B$86,"")</f>
        <v/>
      </c>
      <c r="H283" s="266" t="str">
        <f>IF(AND(organisation_name="yes",LEN(INDEX(knowledge_utilisation[Description],KU_notes[[#This Row],[Row nr]]))&gt;0,LEN(INDEX(knowledge_utilisation[Organisation type],KU_notes[[#This Row],[Row nr]]))&gt;0,ISBLANK(INDEX(knowledge_utilisation[Name organisation],KU_notes[[#This Row],[Row nr]]))),$B$54,"")</f>
        <v/>
      </c>
      <c r="I283" s="266" t="str">
        <f>IF(AND(LEN(INDEX(knowledge_utilisation[Description],KU_notes[[#This Row],[Row nr]]))&gt;0,INDEX(knowledge_utilisation[Amount],KU_notes[[#This Row],[Row nr]])=0),$B$88,"")</f>
        <v/>
      </c>
    </row>
    <row r="284" spans="1:9" x14ac:dyDescent="0.3">
      <c r="A284" s="267">
        <v>10</v>
      </c>
      <c r="B284" s="217" t="str" cm="1">
        <f t="array" aca="1" ref="B284" ca="1">IFERROR(INDEX(KU_notes[[#This Row],[Empty line]:[Amount not provided]],1,MATCH(TRUE,LEN(KU_notes[[#This Row],[Empty line]:[Amount not provided]])&gt;0,0)),"")</f>
        <v/>
      </c>
      <c r="C284" s="268" t="str">
        <f>IFERROR(IF(AND(empty_lines="no",LEN(INDEX(knowledge_utilisation[Description],KU_notes[[#This Row],[Row nr]]))=0,LEN(INDEX(knowledge_utilisation[Description],KU_notes[[#This Row],[Row nr]]+1))&gt;0),$B$36,""),"")</f>
        <v/>
      </c>
      <c r="D284" s="268" t="str">
        <f>IF(AND(organisation_type="yes",LEN(INDEX(knowledge_utilisation[Description],KU_notes[[#This Row],[Row nr]]))&gt;0,ISBLANK(INDEX(knowledge_utilisation[Organisation type],KU_notes[[#This Row],[Row nr]]))),$B$53,"")</f>
        <v/>
      </c>
      <c r="E284"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4" s="268" t="str" cm="1">
        <f t="array" aca="1" ref="F284" ca="1">IF(AND(INDEX(knowledge_utilisation[Amount],KU_notes[[#This Row],[Row nr]])&gt;0,SUM(knowledge_utilisation[Amount])&lt;KU_minperc*Total_NWO_funding),$B$85,"")</f>
        <v/>
      </c>
      <c r="G284" s="268" t="str" cm="1">
        <f t="array" aca="1" ref="G284" ca="1">IF(AND(INDEX(knowledge_utilisation[Amount],KU_notes[[#This Row],[Row nr]])&gt;0,SUM(knowledge_utilisation[Amount])&gt;KU_maxperc*Total_NWO_funding),$B$86,"")</f>
        <v/>
      </c>
      <c r="H284" s="268" t="str">
        <f>IF(AND(organisation_name="yes",LEN(INDEX(knowledge_utilisation[Description],KU_notes[[#This Row],[Row nr]]))&gt;0,LEN(INDEX(knowledge_utilisation[Organisation type],KU_notes[[#This Row],[Row nr]]))&gt;0,ISBLANK(INDEX(knowledge_utilisation[Name organisation],KU_notes[[#This Row],[Row nr]]))),$B$54,"")</f>
        <v/>
      </c>
      <c r="I284" s="268" t="str">
        <f>IF(AND(LEN(INDEX(knowledge_utilisation[Description],KU_notes[[#This Row],[Row nr]]))&gt;0,INDEX(knowledge_utilisation[Amount],KU_notes[[#This Row],[Row nr]])=0),$B$88,"")</f>
        <v/>
      </c>
    </row>
    <row r="285" spans="1:9" x14ac:dyDescent="0.3">
      <c r="A285" s="265">
        <v>11</v>
      </c>
      <c r="B285" s="217" t="str" cm="1">
        <f t="array" aca="1" ref="B285" ca="1">IFERROR(INDEX(KU_notes[[#This Row],[Empty line]:[Amount not provided]],1,MATCH(TRUE,LEN(KU_notes[[#This Row],[Empty line]:[Amount not provided]])&gt;0,0)),"")</f>
        <v/>
      </c>
      <c r="C285" s="266" t="str">
        <f>IFERROR(IF(AND(empty_lines="no",LEN(INDEX(knowledge_utilisation[Description],KU_notes[[#This Row],[Row nr]]))=0,LEN(INDEX(knowledge_utilisation[Description],KU_notes[[#This Row],[Row nr]]+1))&gt;0),$B$36,""),"")</f>
        <v/>
      </c>
      <c r="D285" s="266" t="str">
        <f>IF(AND(organisation_type="yes",LEN(INDEX(knowledge_utilisation[Description],KU_notes[[#This Row],[Row nr]]))&gt;0,ISBLANK(INDEX(knowledge_utilisation[Organisation type],KU_notes[[#This Row],[Row nr]]))),$B$53,"")</f>
        <v/>
      </c>
      <c r="E285"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5" s="266" t="str" cm="1">
        <f t="array" aca="1" ref="F285" ca="1">IF(AND(INDEX(knowledge_utilisation[Amount],KU_notes[[#This Row],[Row nr]])&gt;0,SUM(knowledge_utilisation[Amount])&lt;KU_minperc*Total_NWO_funding),$B$85,"")</f>
        <v/>
      </c>
      <c r="G285" s="266" t="str" cm="1">
        <f t="array" aca="1" ref="G285" ca="1">IF(AND(INDEX(knowledge_utilisation[Amount],KU_notes[[#This Row],[Row nr]])&gt;0,SUM(knowledge_utilisation[Amount])&gt;KU_maxperc*Total_NWO_funding),$B$86,"")</f>
        <v/>
      </c>
      <c r="H285" s="266" t="str">
        <f>IF(AND(organisation_name="yes",LEN(INDEX(knowledge_utilisation[Description],KU_notes[[#This Row],[Row nr]]))&gt;0,LEN(INDEX(knowledge_utilisation[Organisation type],KU_notes[[#This Row],[Row nr]]))&gt;0,ISBLANK(INDEX(knowledge_utilisation[Name organisation],KU_notes[[#This Row],[Row nr]]))),$B$54,"")</f>
        <v/>
      </c>
      <c r="I285" s="266" t="str">
        <f>IF(AND(LEN(INDEX(knowledge_utilisation[Description],KU_notes[[#This Row],[Row nr]]))&gt;0,INDEX(knowledge_utilisation[Amount],KU_notes[[#This Row],[Row nr]])=0),$B$88,"")</f>
        <v/>
      </c>
    </row>
    <row r="286" spans="1:9" x14ac:dyDescent="0.3">
      <c r="A286" s="267">
        <v>12</v>
      </c>
      <c r="B286" s="217" t="str" cm="1">
        <f t="array" aca="1" ref="B286" ca="1">IFERROR(INDEX(KU_notes[[#This Row],[Empty line]:[Amount not provided]],1,MATCH(TRUE,LEN(KU_notes[[#This Row],[Empty line]:[Amount not provided]])&gt;0,0)),"")</f>
        <v/>
      </c>
      <c r="C286" s="268" t="str">
        <f>IFERROR(IF(AND(empty_lines="no",LEN(INDEX(knowledge_utilisation[Description],KU_notes[[#This Row],[Row nr]]))=0,LEN(INDEX(knowledge_utilisation[Description],KU_notes[[#This Row],[Row nr]]+1))&gt;0),$B$36,""),"")</f>
        <v/>
      </c>
      <c r="D286" s="268" t="str">
        <f>IF(AND(organisation_type="yes",LEN(INDEX(knowledge_utilisation[Description],KU_notes[[#This Row],[Row nr]]))&gt;0,ISBLANK(INDEX(knowledge_utilisation[Organisation type],KU_notes[[#This Row],[Row nr]]))),$B$53,"")</f>
        <v/>
      </c>
      <c r="E286"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6" s="268" t="str" cm="1">
        <f t="array" aca="1" ref="F286" ca="1">IF(AND(INDEX(knowledge_utilisation[Amount],KU_notes[[#This Row],[Row nr]])&gt;0,SUM(knowledge_utilisation[Amount])&lt;KU_minperc*Total_NWO_funding),$B$85,"")</f>
        <v/>
      </c>
      <c r="G286" s="268" t="str" cm="1">
        <f t="array" aca="1" ref="G286" ca="1">IF(AND(INDEX(knowledge_utilisation[Amount],KU_notes[[#This Row],[Row nr]])&gt;0,SUM(knowledge_utilisation[Amount])&gt;KU_maxperc*Total_NWO_funding),$B$86,"")</f>
        <v/>
      </c>
      <c r="H286" s="268" t="str">
        <f>IF(AND(organisation_name="yes",LEN(INDEX(knowledge_utilisation[Description],KU_notes[[#This Row],[Row nr]]))&gt;0,LEN(INDEX(knowledge_utilisation[Organisation type],KU_notes[[#This Row],[Row nr]]))&gt;0,ISBLANK(INDEX(knowledge_utilisation[Name organisation],KU_notes[[#This Row],[Row nr]]))),$B$54,"")</f>
        <v/>
      </c>
      <c r="I286" s="268" t="str">
        <f>IF(AND(LEN(INDEX(knowledge_utilisation[Description],KU_notes[[#This Row],[Row nr]]))&gt;0,INDEX(knowledge_utilisation[Amount],KU_notes[[#This Row],[Row nr]])=0),$B$88,"")</f>
        <v/>
      </c>
    </row>
    <row r="287" spans="1:9" x14ac:dyDescent="0.3">
      <c r="A287" s="265">
        <v>13</v>
      </c>
      <c r="B287" s="217" t="str" cm="1">
        <f t="array" aca="1" ref="B287" ca="1">IFERROR(INDEX(KU_notes[[#This Row],[Empty line]:[Amount not provided]],1,MATCH(TRUE,LEN(KU_notes[[#This Row],[Empty line]:[Amount not provided]])&gt;0,0)),"")</f>
        <v/>
      </c>
      <c r="C287" s="266" t="str">
        <f>IFERROR(IF(AND(empty_lines="no",LEN(INDEX(knowledge_utilisation[Description],KU_notes[[#This Row],[Row nr]]))=0,LEN(INDEX(knowledge_utilisation[Description],KU_notes[[#This Row],[Row nr]]+1))&gt;0),$B$36,""),"")</f>
        <v/>
      </c>
      <c r="D287" s="266" t="str">
        <f>IF(AND(organisation_type="yes",LEN(INDEX(knowledge_utilisation[Description],KU_notes[[#This Row],[Row nr]]))&gt;0,ISBLANK(INDEX(knowledge_utilisation[Organisation type],KU_notes[[#This Row],[Row nr]]))),$B$53,"")</f>
        <v/>
      </c>
      <c r="E287"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7" s="266" t="str" cm="1">
        <f t="array" aca="1" ref="F287" ca="1">IF(AND(INDEX(knowledge_utilisation[Amount],KU_notes[[#This Row],[Row nr]])&gt;0,SUM(knowledge_utilisation[Amount])&lt;KU_minperc*Total_NWO_funding),$B$85,"")</f>
        <v/>
      </c>
      <c r="G287" s="266" t="str" cm="1">
        <f t="array" aca="1" ref="G287" ca="1">IF(AND(INDEX(knowledge_utilisation[Amount],KU_notes[[#This Row],[Row nr]])&gt;0,SUM(knowledge_utilisation[Amount])&gt;KU_maxperc*Total_NWO_funding),$B$86,"")</f>
        <v/>
      </c>
      <c r="H287" s="266" t="str">
        <f>IF(AND(organisation_name="yes",LEN(INDEX(knowledge_utilisation[Description],KU_notes[[#This Row],[Row nr]]))&gt;0,LEN(INDEX(knowledge_utilisation[Organisation type],KU_notes[[#This Row],[Row nr]]))&gt;0,ISBLANK(INDEX(knowledge_utilisation[Name organisation],KU_notes[[#This Row],[Row nr]]))),$B$54,"")</f>
        <v/>
      </c>
      <c r="I287" s="266" t="str">
        <f>IF(AND(LEN(INDEX(knowledge_utilisation[Description],KU_notes[[#This Row],[Row nr]]))&gt;0,INDEX(knowledge_utilisation[Amount],KU_notes[[#This Row],[Row nr]])=0),$B$88,"")</f>
        <v/>
      </c>
    </row>
    <row r="288" spans="1:9" x14ac:dyDescent="0.3">
      <c r="A288" s="267">
        <v>14</v>
      </c>
      <c r="B288" s="217" t="str" cm="1">
        <f t="array" aca="1" ref="B288" ca="1">IFERROR(INDEX(KU_notes[[#This Row],[Empty line]:[Amount not provided]],1,MATCH(TRUE,LEN(KU_notes[[#This Row],[Empty line]:[Amount not provided]])&gt;0,0)),"")</f>
        <v/>
      </c>
      <c r="C288" s="268" t="str">
        <f>IFERROR(IF(AND(empty_lines="no",LEN(INDEX(knowledge_utilisation[Description],KU_notes[[#This Row],[Row nr]]))=0,LEN(INDEX(knowledge_utilisation[Description],KU_notes[[#This Row],[Row nr]]+1))&gt;0),$B$36,""),"")</f>
        <v/>
      </c>
      <c r="D288" s="268" t="str">
        <f>IF(AND(organisation_type="yes",LEN(INDEX(knowledge_utilisation[Description],KU_notes[[#This Row],[Row nr]]))&gt;0,ISBLANK(INDEX(knowledge_utilisation[Organisation type],KU_notes[[#This Row],[Row nr]]))),$B$53,"")</f>
        <v/>
      </c>
      <c r="E288" s="268"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8" s="268" t="str" cm="1">
        <f t="array" aca="1" ref="F288" ca="1">IF(AND(INDEX(knowledge_utilisation[Amount],KU_notes[[#This Row],[Row nr]])&gt;0,SUM(knowledge_utilisation[Amount])&lt;KU_minperc*Total_NWO_funding),$B$85,"")</f>
        <v/>
      </c>
      <c r="G288" s="268" t="str" cm="1">
        <f t="array" aca="1" ref="G288" ca="1">IF(AND(INDEX(knowledge_utilisation[Amount],KU_notes[[#This Row],[Row nr]])&gt;0,SUM(knowledge_utilisation[Amount])&gt;KU_maxperc*Total_NWO_funding),$B$86,"")</f>
        <v/>
      </c>
      <c r="H288" s="268" t="str">
        <f>IF(AND(organisation_name="yes",LEN(INDEX(knowledge_utilisation[Description],KU_notes[[#This Row],[Row nr]]))&gt;0,LEN(INDEX(knowledge_utilisation[Organisation type],KU_notes[[#This Row],[Row nr]]))&gt;0,ISBLANK(INDEX(knowledge_utilisation[Name organisation],KU_notes[[#This Row],[Row nr]]))),$B$54,"")</f>
        <v/>
      </c>
      <c r="I288" s="268" t="str">
        <f>IF(AND(LEN(INDEX(knowledge_utilisation[Description],KU_notes[[#This Row],[Row nr]]))&gt;0,INDEX(knowledge_utilisation[Amount],KU_notes[[#This Row],[Row nr]])=0),$B$88,"")</f>
        <v/>
      </c>
    </row>
    <row r="289" spans="1:9" x14ac:dyDescent="0.3">
      <c r="A289" s="265">
        <v>15</v>
      </c>
      <c r="B289" s="217" t="str" cm="1">
        <f t="array" aca="1" ref="B289" ca="1">IFERROR(INDEX(KU_notes[[#This Row],[Empty line]:[Amount not provided]],1,MATCH(TRUE,LEN(KU_notes[[#This Row],[Empty line]:[Amount not provided]])&gt;0,0)),"")</f>
        <v/>
      </c>
      <c r="C289" s="266" t="str">
        <f>IFERROR(IF(AND(empty_lines="no",LEN(INDEX(knowledge_utilisation[Description],KU_notes[[#This Row],[Row nr]]))=0,LEN(INDEX(knowledge_utilisation[Description],KU_notes[[#This Row],[Row nr]]+1))&gt;0),$B$36,""),"")</f>
        <v/>
      </c>
      <c r="D289" s="266" t="str">
        <f>IF(AND(organisation_type="yes",LEN(INDEX(knowledge_utilisation[Description],KU_notes[[#This Row],[Row nr]]))&gt;0,ISBLANK(INDEX(knowledge_utilisation[Organisation type],KU_notes[[#This Row],[Row nr]]))),$B$53,"")</f>
        <v/>
      </c>
      <c r="E289" s="266" t="str">
        <f>IF(AND(LEN(INDEX(knowledge_utilisation[Description],KU_notes[[#This Row],[Row nr]]))&gt;0,INDEX(knowledge_utilisation[Organisation type],KU_notes[[#This Row],[Row nr]])=pers_int_listname,SUMIF(knowledge_utilisation[Organisation type],pers_int_listname,knowledge_utilisation[Amount])&gt;KU_int_maxperc*Total_Knowledge_utilisation),$B$87,"")</f>
        <v/>
      </c>
      <c r="F289" s="266" t="str" cm="1">
        <f t="array" aca="1" ref="F289" ca="1">IF(AND(INDEX(knowledge_utilisation[Amount],KU_notes[[#This Row],[Row nr]])&gt;0,SUM(knowledge_utilisation[Amount])&lt;KU_minperc*Total_NWO_funding),$B$85,"")</f>
        <v/>
      </c>
      <c r="G289" s="266" t="str" cm="1">
        <f t="array" aca="1" ref="G289" ca="1">IF(AND(INDEX(knowledge_utilisation[Amount],KU_notes[[#This Row],[Row nr]])&gt;0,SUM(knowledge_utilisation[Amount])&gt;KU_maxperc*Total_NWO_funding),$B$86,"")</f>
        <v/>
      </c>
      <c r="H289" s="266" t="str">
        <f>IF(AND(organisation_name="yes",LEN(INDEX(knowledge_utilisation[Description],KU_notes[[#This Row],[Row nr]]))&gt;0,LEN(INDEX(knowledge_utilisation[Organisation type],KU_notes[[#This Row],[Row nr]]))&gt;0,ISBLANK(INDEX(knowledge_utilisation[Name organisation],KU_notes[[#This Row],[Row nr]]))),$B$54,"")</f>
        <v/>
      </c>
      <c r="I289" s="266" t="str">
        <f>IF(AND(LEN(INDEX(knowledge_utilisation[Description],KU_notes[[#This Row],[Row nr]]))&gt;0,INDEX(knowledge_utilisation[Amount],KU_notes[[#This Row],[Row nr]])=0),$B$88,"")</f>
        <v/>
      </c>
    </row>
    <row r="295" spans="1:9" ht="18" x14ac:dyDescent="0.35">
      <c r="A295" s="123" t="s">
        <v>664</v>
      </c>
    </row>
    <row r="296" spans="1:9" ht="12" customHeight="1" x14ac:dyDescent="0.3">
      <c r="A296" s="245" t="s">
        <v>532</v>
      </c>
      <c r="B296" s="245" t="s">
        <v>536</v>
      </c>
      <c r="C296" s="245" t="s">
        <v>663</v>
      </c>
      <c r="D296" s="245" t="s">
        <v>665</v>
      </c>
      <c r="E296" s="245" t="s">
        <v>669</v>
      </c>
      <c r="F296" s="245" t="s">
        <v>670</v>
      </c>
    </row>
    <row r="297" spans="1:9" ht="12" customHeight="1" x14ac:dyDescent="0.3">
      <c r="A297" s="252">
        <v>1</v>
      </c>
      <c r="B297" s="111" t="str">
        <f t="array" ref="B297">IFERROR(INDEX(#REF!,1,MATCH(TRUE,LEN(#REF!)&gt;0,0)),"")</f>
        <v/>
      </c>
      <c r="C297" s="111" t="str">
        <f>IFERROR(IF(AND(LEN(INDEX(inkind[Organisation + description],$A297))+LEN(INDEX(inkind[[ ]],$A297))+LEN(INDEX(inkind[[  ]],$A297))+LEN(INDEX(inkind[Nr of units or Nr of hours],$A297))&gt;0,LEN(INDEX(inkind[Organisation + description],$A297-1))+LEN(INDEX(inkind[[ ]],$A297-1))+LEN(INDEX(inkind[[  ]],$A297-1))+LEN(INDEX(inkind[Nr of units or Nr of hours],$A297-1))=0),$B$36,""),"")</f>
        <v/>
      </c>
      <c r="D297" s="111" t="str">
        <f>IF(AND(INDEX(inkind[Amount],$A297)&gt;0,LEN(INDEX(inkind[[ ]],$A297))=0,cofunding_inkind_def_rates="yes"),$B$93,"")</f>
        <v/>
      </c>
      <c r="E297" s="111" t="str" cm="1">
        <f t="array" ref="E297">IF(AND(INDEX(inkind[[ ]],$A297)="Personnel",INDEX(inkind[Unit price or hourly rate],$A297)&gt;cofunding_max_rate),$B$96,"")</f>
        <v/>
      </c>
      <c r="F297" s="111" t="str">
        <f>IF(AND(INDEX(inkind[[ ]],$A297)="Materials",LEN(INDEX(inkind[[  ]],$A297))&gt;0),$B$94,"")</f>
        <v/>
      </c>
    </row>
    <row r="298" spans="1:9" ht="12" customHeight="1" x14ac:dyDescent="0.3">
      <c r="A298" s="252">
        <v>2</v>
      </c>
      <c r="B298" s="111" t="str">
        <f t="array" ref="B298">IFERROR(INDEX(#REF!,1,MATCH(TRUE,LEN(#REF!)&gt;0,0)),"")</f>
        <v/>
      </c>
      <c r="C298" s="111" t="str">
        <f>IFERROR(IF(AND(LEN(INDEX(inkind[Organisation + description],$A298))+LEN(INDEX(inkind[[ ]],$A298))+LEN(INDEX(inkind[[  ]],$A298))+LEN(INDEX(inkind[Nr of units or Nr of hours],$A298))&gt;0,LEN(INDEX(inkind[Organisation + description],$A298-1))+LEN(INDEX(inkind[[ ]],$A298-1))+LEN(INDEX(inkind[[  ]],$A298-1))+LEN(INDEX(inkind[Nr of units or Nr of hours],$A298-1))=0),$B$36,""),"")</f>
        <v/>
      </c>
      <c r="D298" s="111" t="str">
        <f>IF(AND(INDEX(inkind[Amount],$A298)&gt;0,LEN(INDEX(inkind[[ ]],$A298))=0,cofunding_inkind_def_rates="yes"),$B$93,"")</f>
        <v/>
      </c>
      <c r="E298" s="111" t="str" cm="1">
        <f t="array" ref="E298">IF(AND(INDEX(inkind[[ ]],$A298)="Personnel",INDEX(inkind[Unit price or hourly rate],$A298)&gt;cofunding_max_rate),$B$96,"")</f>
        <v/>
      </c>
      <c r="F298" s="111" t="str">
        <f>IF(AND(INDEX(inkind[[ ]],$A298)="Materials",LEN(INDEX(inkind[[  ]],$A298))&gt;0),$B$94,"")</f>
        <v/>
      </c>
    </row>
    <row r="299" spans="1:9" ht="12" customHeight="1" x14ac:dyDescent="0.3">
      <c r="A299" s="252">
        <v>3</v>
      </c>
      <c r="B299" s="111" t="str">
        <f t="array" ref="B299">IFERROR(INDEX(#REF!,1,MATCH(TRUE,LEN(#REF!)&gt;0,0)),"")</f>
        <v/>
      </c>
      <c r="C299" s="111" t="str">
        <f>IFERROR(IF(AND(LEN(INDEX(inkind[Organisation + description],$A299))+LEN(INDEX(inkind[[ ]],$A299))+LEN(INDEX(inkind[[  ]],$A299))+LEN(INDEX(inkind[Nr of units or Nr of hours],$A299))&gt;0,LEN(INDEX(inkind[Organisation + description],$A299-1))+LEN(INDEX(inkind[[ ]],$A299-1))+LEN(INDEX(inkind[[  ]],$A299-1))+LEN(INDEX(inkind[Nr of units or Nr of hours],$A299-1))=0),$B$36,""),"")</f>
        <v/>
      </c>
      <c r="D299" s="111" t="str">
        <f>IF(AND(INDEX(inkind[Amount],$A299)&gt;0,LEN(INDEX(inkind[[ ]],$A299))=0,cofunding_inkind_def_rates="yes"),$B$93,"")</f>
        <v/>
      </c>
      <c r="E299" s="111" t="str" cm="1">
        <f t="array" ref="E299">IF(AND(INDEX(inkind[[ ]],$A299)="Personnel",INDEX(inkind[Unit price or hourly rate],$A299)&gt;cofunding_max_rate),$B$96,"")</f>
        <v/>
      </c>
      <c r="F299" s="111" t="str">
        <f>IF(AND(INDEX(inkind[[ ]],$A299)="Materials",LEN(INDEX(inkind[[  ]],$A299))&gt;0),$B$94,"")</f>
        <v/>
      </c>
    </row>
    <row r="300" spans="1:9" ht="12" customHeight="1" x14ac:dyDescent="0.3">
      <c r="A300" s="252">
        <v>4</v>
      </c>
      <c r="B300" s="111" t="str">
        <f t="array" ref="B300">IFERROR(INDEX(#REF!,1,MATCH(TRUE,LEN(#REF!)&gt;0,0)),"")</f>
        <v/>
      </c>
      <c r="C300" s="111" t="str">
        <f>IFERROR(IF(AND(LEN(INDEX(inkind[Organisation + description],$A300))+LEN(INDEX(inkind[[ ]],$A300))+LEN(INDEX(inkind[[  ]],$A300))+LEN(INDEX(inkind[Nr of units or Nr of hours],$A300))&gt;0,LEN(INDEX(inkind[Organisation + description],$A300-1))+LEN(INDEX(inkind[[ ]],$A300-1))+LEN(INDEX(inkind[[  ]],$A300-1))+LEN(INDEX(inkind[Nr of units or Nr of hours],$A300-1))=0),$B$36,""),"")</f>
        <v/>
      </c>
      <c r="D300" s="111" t="str">
        <f>IF(AND(INDEX(inkind[Amount],$A300)&gt;0,LEN(INDEX(inkind[[ ]],$A300))=0,cofunding_inkind_def_rates="yes"),$B$93,"")</f>
        <v/>
      </c>
      <c r="E300" s="111" t="str" cm="1">
        <f t="array" ref="E300">IF(AND(INDEX(inkind[[ ]],$A300)="Personnel",INDEX(inkind[Unit price or hourly rate],$A300)&gt;cofunding_max_rate),$B$96,"")</f>
        <v/>
      </c>
      <c r="F300" s="111" t="str">
        <f>IF(AND(INDEX(inkind[[ ]],$A300)="Materials",LEN(INDEX(inkind[[  ]],$A300))&gt;0),$B$94,"")</f>
        <v/>
      </c>
    </row>
    <row r="301" spans="1:9" ht="12" customHeight="1" x14ac:dyDescent="0.3">
      <c r="A301" s="252">
        <v>5</v>
      </c>
      <c r="B301" s="111" t="str">
        <f t="array" ref="B301">IFERROR(INDEX(#REF!,1,MATCH(TRUE,LEN(#REF!)&gt;0,0)),"")</f>
        <v/>
      </c>
      <c r="C301" s="111" t="str">
        <f>IFERROR(IF(AND(LEN(INDEX(inkind[Organisation + description],$A301))+LEN(INDEX(inkind[[ ]],$A301))+LEN(INDEX(inkind[[  ]],$A301))+LEN(INDEX(inkind[Nr of units or Nr of hours],$A301))&gt;0,LEN(INDEX(inkind[Organisation + description],$A301-1))+LEN(INDEX(inkind[[ ]],$A301-1))+LEN(INDEX(inkind[[  ]],$A301-1))+LEN(INDEX(inkind[Nr of units or Nr of hours],$A301-1))=0),$B$36,""),"")</f>
        <v/>
      </c>
      <c r="D301" s="111" t="str">
        <f>IF(AND(INDEX(inkind[Amount],$A301)&gt;0,LEN(INDEX(inkind[[ ]],$A301))=0,cofunding_inkind_def_rates="yes"),$B$93,"")</f>
        <v/>
      </c>
      <c r="E301" s="111" t="str" cm="1">
        <f t="array" ref="E301">IF(AND(INDEX(inkind[[ ]],$A301)="Personnel",INDEX(inkind[Unit price or hourly rate],$A301)&gt;cofunding_max_rate),$B$96,"")</f>
        <v/>
      </c>
      <c r="F301" s="111" t="str">
        <f>IF(AND(INDEX(inkind[[ ]],$A301)="Materials",LEN(INDEX(inkind[[  ]],$A301))&gt;0),$B$94,"")</f>
        <v/>
      </c>
    </row>
    <row r="302" spans="1:9" ht="12" customHeight="1" x14ac:dyDescent="0.3">
      <c r="A302" s="252">
        <v>6</v>
      </c>
      <c r="B302" s="111" t="str">
        <f t="array" ref="B302">IFERROR(INDEX(#REF!,1,MATCH(TRUE,LEN(#REF!)&gt;0,0)),"")</f>
        <v/>
      </c>
      <c r="C302" s="111" t="str">
        <f>IFERROR(IF(AND(LEN(INDEX(inkind[Organisation + description],$A302))+LEN(INDEX(inkind[[ ]],$A302))+LEN(INDEX(inkind[[  ]],$A302))+LEN(INDEX(inkind[Nr of units or Nr of hours],$A302))&gt;0,LEN(INDEX(inkind[Organisation + description],$A302-1))+LEN(INDEX(inkind[[ ]],$A302-1))+LEN(INDEX(inkind[[  ]],$A302-1))+LEN(INDEX(inkind[Nr of units or Nr of hours],$A302-1))=0),$B$36,""),"")</f>
        <v/>
      </c>
      <c r="D302" s="111" t="str">
        <f>IF(AND(INDEX(inkind[Amount],$A302)&gt;0,LEN(INDEX(inkind[[ ]],$A302))=0,cofunding_inkind_def_rates="yes"),$B$93,"")</f>
        <v/>
      </c>
      <c r="E302" s="111" t="str" cm="1">
        <f t="array" ref="E302">IF(AND(INDEX(inkind[[ ]],$A302)="Personnel",INDEX(inkind[Unit price or hourly rate],$A302)&gt;cofunding_max_rate),$B$96,"")</f>
        <v/>
      </c>
      <c r="F302" s="111" t="str">
        <f>IF(AND(INDEX(inkind[[ ]],$A302)="Materials",LEN(INDEX(inkind[[  ]],$A302))&gt;0),$B$94,"")</f>
        <v/>
      </c>
    </row>
    <row r="303" spans="1:9" ht="12" customHeight="1" x14ac:dyDescent="0.3">
      <c r="A303" s="252">
        <v>7</v>
      </c>
      <c r="B303" s="111" t="str">
        <f t="array" ref="B303">IFERROR(INDEX(#REF!,1,MATCH(TRUE,LEN(#REF!)&gt;0,0)),"")</f>
        <v/>
      </c>
      <c r="C303" s="111" t="str">
        <f>IFERROR(IF(AND(LEN(INDEX(inkind[Organisation + description],$A303))+LEN(INDEX(inkind[[ ]],$A303))+LEN(INDEX(inkind[[  ]],$A303))+LEN(INDEX(inkind[Nr of units or Nr of hours],$A303))&gt;0,LEN(INDEX(inkind[Organisation + description],$A303-1))+LEN(INDEX(inkind[[ ]],$A303-1))+LEN(INDEX(inkind[[  ]],$A303-1))+LEN(INDEX(inkind[Nr of units or Nr of hours],$A303-1))=0),$B$36,""),"")</f>
        <v/>
      </c>
      <c r="D303" s="111" t="str">
        <f>IF(AND(INDEX(inkind[Amount],$A303)&gt;0,LEN(INDEX(inkind[[ ]],$A303))=0,cofunding_inkind_def_rates="yes"),$B$93,"")</f>
        <v/>
      </c>
      <c r="E303" s="111" t="str" cm="1">
        <f t="array" ref="E303">IF(AND(INDEX(inkind[[ ]],$A303)="Personnel",INDEX(inkind[Unit price or hourly rate],$A303)&gt;cofunding_max_rate),$B$96,"")</f>
        <v/>
      </c>
      <c r="F303" s="111" t="str">
        <f>IF(AND(INDEX(inkind[[ ]],$A303)="Materials",LEN(INDEX(inkind[[  ]],$A303))&gt;0),$B$94,"")</f>
        <v/>
      </c>
    </row>
    <row r="304" spans="1:9" ht="12" customHeight="1" x14ac:dyDescent="0.3">
      <c r="A304" s="252">
        <v>8</v>
      </c>
      <c r="B304" s="111" t="str">
        <f t="array" ref="B304">IFERROR(INDEX(#REF!,1,MATCH(TRUE,LEN(#REF!)&gt;0,0)),"")</f>
        <v/>
      </c>
      <c r="C304" s="111" t="str">
        <f>IFERROR(IF(AND(LEN(INDEX(inkind[Organisation + description],$A304))+LEN(INDEX(inkind[[ ]],$A304))+LEN(INDEX(inkind[[  ]],$A304))+LEN(INDEX(inkind[Nr of units or Nr of hours],$A304))&gt;0,LEN(INDEX(inkind[Organisation + description],$A304-1))+LEN(INDEX(inkind[[ ]],$A304-1))+LEN(INDEX(inkind[[  ]],$A304-1))+LEN(INDEX(inkind[Nr of units or Nr of hours],$A304-1))=0),$B$36,""),"")</f>
        <v/>
      </c>
      <c r="D304" s="111" t="str">
        <f>IF(AND(INDEX(inkind[Amount],$A304)&gt;0,LEN(INDEX(inkind[[ ]],$A304))=0,cofunding_inkind_def_rates="yes"),$B$93,"")</f>
        <v/>
      </c>
      <c r="E304" s="111" t="str" cm="1">
        <f t="array" ref="E304">IF(AND(INDEX(inkind[[ ]],$A304)="Personnel",INDEX(inkind[Unit price or hourly rate],$A304)&gt;cofunding_max_rate),$B$96,"")</f>
        <v/>
      </c>
      <c r="F304" s="111" t="str">
        <f>IF(AND(INDEX(inkind[[ ]],$A304)="Materials",LEN(INDEX(inkind[[  ]],$A304))&gt;0),$B$94,"")</f>
        <v/>
      </c>
    </row>
    <row r="305" spans="1:6" ht="12" customHeight="1" x14ac:dyDescent="0.3">
      <c r="A305" s="252">
        <v>9</v>
      </c>
      <c r="B305" s="111" t="str">
        <f t="array" ref="B305">IFERROR(INDEX(#REF!,1,MATCH(TRUE,LEN(#REF!)&gt;0,0)),"")</f>
        <v/>
      </c>
      <c r="C305" s="111" t="str">
        <f>IFERROR(IF(AND(LEN(INDEX(inkind[Organisation + description],$A305))+LEN(INDEX(inkind[[ ]],$A305))+LEN(INDEX(inkind[[  ]],$A305))+LEN(INDEX(inkind[Nr of units or Nr of hours],$A305))&gt;0,LEN(INDEX(inkind[Organisation + description],$A305-1))+LEN(INDEX(inkind[[ ]],$A305-1))+LEN(INDEX(inkind[[  ]],$A305-1))+LEN(INDEX(inkind[Nr of units or Nr of hours],$A305-1))=0),$B$36,""),"")</f>
        <v/>
      </c>
      <c r="D305" s="111" t="str">
        <f>IF(AND(INDEX(inkind[Amount],$A305)&gt;0,LEN(INDEX(inkind[[ ]],$A305))=0,cofunding_inkind_def_rates="yes"),$B$93,"")</f>
        <v/>
      </c>
      <c r="E305" s="111" t="str" cm="1">
        <f t="array" ref="E305">IF(AND(INDEX(inkind[[ ]],$A305)="Personnel",INDEX(inkind[Unit price or hourly rate],$A305)&gt;cofunding_max_rate),$B$96,"")</f>
        <v/>
      </c>
      <c r="F305" s="111" t="str">
        <f>IF(AND(INDEX(inkind[[ ]],$A305)="Materials",LEN(INDEX(inkind[[  ]],$A305))&gt;0),$B$94,"")</f>
        <v/>
      </c>
    </row>
    <row r="306" spans="1:6" ht="12" customHeight="1" x14ac:dyDescent="0.3">
      <c r="A306" s="252">
        <v>10</v>
      </c>
      <c r="B306" s="111" t="str">
        <f t="array" ref="B306">IFERROR(INDEX(#REF!,1,MATCH(TRUE,LEN(#REF!)&gt;0,0)),"")</f>
        <v/>
      </c>
      <c r="C306" s="111" t="str">
        <f>IFERROR(IF(AND(LEN(INDEX(inkind[Organisation + description],$A306))+LEN(INDEX(inkind[[ ]],$A306))+LEN(INDEX(inkind[[  ]],$A306))+LEN(INDEX(inkind[Nr of units or Nr of hours],$A306))&gt;0,LEN(INDEX(inkind[Organisation + description],$A306-1))+LEN(INDEX(inkind[[ ]],$A306-1))+LEN(INDEX(inkind[[  ]],$A306-1))+LEN(INDEX(inkind[Nr of units or Nr of hours],$A306-1))=0),$B$36,""),"")</f>
        <v/>
      </c>
      <c r="D306" s="111" t="str">
        <f>IF(AND(INDEX(inkind[Amount],$A306)&gt;0,LEN(INDEX(inkind[[ ]],$A306))=0,cofunding_inkind_def_rates="yes"),$B$93,"")</f>
        <v/>
      </c>
      <c r="E306" s="111" t="str" cm="1">
        <f t="array" ref="E306">IF(AND(INDEX(inkind[[ ]],$A306)="Personnel",INDEX(inkind[Unit price or hourly rate],$A306)&gt;cofunding_max_rate),$B$96,"")</f>
        <v/>
      </c>
      <c r="F306" s="111" t="str">
        <f>IF(AND(INDEX(inkind[[ ]],$A306)="Materials",LEN(INDEX(inkind[[  ]],$A306))&gt;0),$B$94,"")</f>
        <v/>
      </c>
    </row>
    <row r="307" spans="1:6" ht="12" customHeight="1" x14ac:dyDescent="0.35">
      <c r="A307" s="123"/>
    </row>
    <row r="308" spans="1:6" ht="12" customHeight="1" x14ac:dyDescent="0.35">
      <c r="A308" s="123"/>
    </row>
    <row r="309" spans="1:6" ht="12" customHeight="1" x14ac:dyDescent="0.35">
      <c r="A309" s="123"/>
    </row>
    <row r="310" spans="1:6" ht="12" customHeight="1" x14ac:dyDescent="0.35">
      <c r="A310" s="123"/>
    </row>
    <row r="311" spans="1:6" ht="12" customHeight="1" x14ac:dyDescent="0.3"/>
    <row r="312" spans="1:6" ht="12" customHeight="1" x14ac:dyDescent="0.3"/>
    <row r="313" spans="1:6" ht="12" customHeight="1" x14ac:dyDescent="0.3"/>
    <row r="314" spans="1:6" ht="12" customHeight="1" x14ac:dyDescent="0.3"/>
    <row r="315" spans="1:6" ht="12" customHeight="1" x14ac:dyDescent="0.3"/>
    <row r="316" spans="1:6" ht="12" customHeight="1" x14ac:dyDescent="0.3"/>
    <row r="317" spans="1:6" ht="12" customHeight="1" x14ac:dyDescent="0.3"/>
    <row r="318" spans="1:6" ht="12" customHeight="1" x14ac:dyDescent="0.3"/>
    <row r="319" spans="1:6" ht="12" customHeight="1" x14ac:dyDescent="0.3"/>
    <row r="320" spans="1:6" ht="12" customHeight="1" x14ac:dyDescent="0.3"/>
    <row r="321" spans="1:5" ht="12" customHeight="1" x14ac:dyDescent="0.3"/>
    <row r="322" spans="1:5" ht="12" customHeight="1" x14ac:dyDescent="0.3"/>
    <row r="323" spans="1:5" ht="12" customHeight="1" x14ac:dyDescent="0.3"/>
    <row r="324" spans="1:5" ht="12" customHeight="1" x14ac:dyDescent="0.3"/>
    <row r="325" spans="1:5" ht="12" customHeight="1" x14ac:dyDescent="0.3"/>
    <row r="326" spans="1:5" ht="18" x14ac:dyDescent="0.35">
      <c r="A326" s="123" t="s">
        <v>633</v>
      </c>
    </row>
    <row r="328" spans="1:5" x14ac:dyDescent="0.3">
      <c r="A328" s="111" t="s">
        <v>536</v>
      </c>
      <c r="B328" s="111" t="s">
        <v>634</v>
      </c>
      <c r="C328" s="111" t="s">
        <v>635</v>
      </c>
      <c r="D328" s="111" t="s">
        <v>637</v>
      </c>
      <c r="E328" s="111" t="s">
        <v>636</v>
      </c>
    </row>
    <row r="329" spans="1:5" x14ac:dyDescent="0.3">
      <c r="A329" s="111" t="str">
        <f ca="1">cofunding_comb_notes[too less - no threshold]&amp;cofunding_comb_notes[too less - incl threshold]&amp;cofunding_comb_notes[private part too low]&amp;cofunding_comb_notes[too much]</f>
        <v/>
      </c>
      <c r="B329" s="111" t="str">
        <f ca="1">IF(AND(cofunding_threshold=0,Total_cofunding&lt;cofunding_min_perc*Total_project_budget),$B$99,"")</f>
        <v/>
      </c>
      <c r="C329" s="111" t="str">
        <f ca="1">IF(AND(cofunding_threshold&gt;0,Total_cofunding&lt;cofunding_min_perc*(Total_project_budget-cofunding_threshold)),$B$98,"")</f>
        <v/>
      </c>
      <c r="D329" s="111" t="str">
        <f ca="1">IFERROR(IF(AND(total_private_cof&lt;cofunding_private_minperc*Total_project_budget,cofunding_comb_notes[too less - no threshold]="",cofunding_comb_notes[too less - incl threshold]=""),$B$100,""),"")</f>
        <v/>
      </c>
      <c r="E329" s="111" t="str">
        <f ca="1">IF(Total_cofunding&gt;cofunding_max_perc*Total_project_budget,B101,"")</f>
        <v/>
      </c>
    </row>
    <row r="334" spans="1:5" x14ac:dyDescent="0.3">
      <c r="A334" s="341" t="s">
        <v>866</v>
      </c>
    </row>
    <row r="335" spans="1:5" x14ac:dyDescent="0.3">
      <c r="A335" s="111" t="s">
        <v>867</v>
      </c>
    </row>
    <row r="336" spans="1:5" x14ac:dyDescent="0.3">
      <c r="A336" s="111" t="s">
        <v>868</v>
      </c>
    </row>
  </sheetData>
  <sheetProtection algorithmName="SHA-512" hashValue="3uMNm5XrO7LH/aVhpunwx9J+p5MB4XwbCssulyFDDgHkZiQJCLz4C39UuhNZ4SAz4ZO4zK3WU8JEHtuhf4vdVw==" saltValue="mEgOyFFo2ASgJh0iE4jMxA==" spinCount="100000" sheet="1" objects="1" scenarios="1"/>
  <phoneticPr fontId="24" type="noConversion"/>
  <pageMargins left="0.7" right="0.7" top="0.75" bottom="0.75" header="0.3" footer="0.3"/>
  <pageSetup paperSize="9" orientation="portrait" horizontalDpi="1200" verticalDpi="1200" r:id="rId1"/>
  <ignoredErrors>
    <ignoredError sqref="E11:E20" calculatedColumn="1"/>
  </ignoredErrors>
  <tableParts count="11">
    <tablePart r:id="rId2"/>
    <tablePart r:id="rId3"/>
    <tablePart r:id="rId4"/>
    <tablePart r:id="rId5"/>
    <tablePart r:id="rId6"/>
    <tablePart r:id="rId7"/>
    <tablePart r:id="rId8"/>
    <tablePart r:id="rId9"/>
    <tablePart r:id="rId10"/>
    <tablePart r:id="rId11"/>
    <tablePart r:id="rId12"/>
  </tableParts>
</worksheet>
</file>

<file path=docMetadata/LabelInfo.xml><?xml version="1.0" encoding="utf-8"?>
<clbl:labelList xmlns:clbl="http://schemas.microsoft.com/office/2020/mipLabelMetadata">
  <clbl:label id="{81e63bdd-534e-4aaf-855a-4c017eec7126}" enabled="0" method="" siteId="{81e63bdd-534e-4aaf-855a-4c017eec71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99</vt:i4>
      </vt:variant>
    </vt:vector>
  </HeadingPairs>
  <TitlesOfParts>
    <vt:vector size="104" baseType="lpstr">
      <vt:lpstr>Summary</vt:lpstr>
      <vt:lpstr>Budget</vt:lpstr>
      <vt:lpstr>Budget modules and explanation </vt:lpstr>
      <vt:lpstr>parameters</vt:lpstr>
      <vt:lpstr>checks</vt:lpstr>
      <vt:lpstr>Budget!Afdrukbereik</vt:lpstr>
      <vt:lpstr>benchfee_amount</vt:lpstr>
      <vt:lpstr>callnaam</vt:lpstr>
      <vt:lpstr>cash_cofunding_minperc</vt:lpstr>
      <vt:lpstr>cash_invoice</vt:lpstr>
      <vt:lpstr>categories_pers_ac</vt:lpstr>
      <vt:lpstr>CfP_tariffs_other_inst</vt:lpstr>
      <vt:lpstr>cofunding_inkind_def_rates</vt:lpstr>
      <vt:lpstr>cofunding_max_perc</vt:lpstr>
      <vt:lpstr>cofunding_max_rate</vt:lpstr>
      <vt:lpstr>cofunding_min_perc</vt:lpstr>
      <vt:lpstr>cofunding_perc</vt:lpstr>
      <vt:lpstr>cofunding_private_minperc</vt:lpstr>
      <vt:lpstr>cofunding_threshold</vt:lpstr>
      <vt:lpstr>date</vt:lpstr>
      <vt:lpstr>empty_lines</vt:lpstr>
      <vt:lpstr>file_creation_date</vt:lpstr>
      <vt:lpstr>File_number</vt:lpstr>
      <vt:lpstr>footer_KU_entrepeneurship2</vt:lpstr>
      <vt:lpstr>footer_materials</vt:lpstr>
      <vt:lpstr>footer_materials2</vt:lpstr>
      <vt:lpstr>HOT_rate_type</vt:lpstr>
      <vt:lpstr>HOT_rates</vt:lpstr>
      <vt:lpstr>inv_max_total_amount</vt:lpstr>
      <vt:lpstr>inv_min_perc_own_contr</vt:lpstr>
      <vt:lpstr>inv_min_total_amount</vt:lpstr>
      <vt:lpstr>inv_own_contribution</vt:lpstr>
      <vt:lpstr>KU_int_maxperc</vt:lpstr>
      <vt:lpstr>KU_maxperc</vt:lpstr>
      <vt:lpstr>KU_minperc</vt:lpstr>
      <vt:lpstr>list_ac_other_combined</vt:lpstr>
      <vt:lpstr>list_academic_personnel</vt:lpstr>
      <vt:lpstr>list_kind_cash_cofunding</vt:lpstr>
      <vt:lpstr>list_main_app</vt:lpstr>
      <vt:lpstr>list_personnel_other_inst</vt:lpstr>
      <vt:lpstr>Main_applicant</vt:lpstr>
      <vt:lpstr>mat_int_maxperc</vt:lpstr>
      <vt:lpstr>Mat_max_amount</vt:lpstr>
      <vt:lpstr>mat_maxperc_pers</vt:lpstr>
      <vt:lpstr>Max_mat_FTE_year</vt:lpstr>
      <vt:lpstr>Max_NWO_funding</vt:lpstr>
      <vt:lpstr>max_NWO_funding_with_inv_nature</vt:lpstr>
      <vt:lpstr>max_NWO_funding_wo_inv_nature</vt:lpstr>
      <vt:lpstr>Max_project_duration</vt:lpstr>
      <vt:lpstr>Min_NWO_funding</vt:lpstr>
      <vt:lpstr>NFU_rates</vt:lpstr>
      <vt:lpstr>notes</vt:lpstr>
      <vt:lpstr>organisation_name</vt:lpstr>
      <vt:lpstr>organisation_type</vt:lpstr>
      <vt:lpstr>pers_3yPhD_min_months</vt:lpstr>
      <vt:lpstr>pers_fixed_max_amount</vt:lpstr>
      <vt:lpstr>pers_fixed_max_perc</vt:lpstr>
      <vt:lpstr>pers_int_amount_audit_stmnt</vt:lpstr>
      <vt:lpstr>pers_int_listname</vt:lpstr>
      <vt:lpstr>pers_int_maxamount</vt:lpstr>
      <vt:lpstr>pers_int_maxperc</vt:lpstr>
      <vt:lpstr>pers_int_maxpos</vt:lpstr>
      <vt:lpstr>pers_int_minamount</vt:lpstr>
      <vt:lpstr>pers_int_minperc</vt:lpstr>
      <vt:lpstr>pers_int_minpos</vt:lpstr>
      <vt:lpstr>pers_leave_maxperc</vt:lpstr>
      <vt:lpstr>pers_other_inst_max_perc</vt:lpstr>
      <vt:lpstr>pers_other_inst_max_pos</vt:lpstr>
      <vt:lpstr>pers_other_nrhours_year</vt:lpstr>
      <vt:lpstr>pers_PD_max_months</vt:lpstr>
      <vt:lpstr>pers_PD_min_FTE</vt:lpstr>
      <vt:lpstr>pers_PD_min_months</vt:lpstr>
      <vt:lpstr>pers_PDEng_max_months</vt:lpstr>
      <vt:lpstr>pers_PhD_max_months</vt:lpstr>
      <vt:lpstr>pers_PhD_min_months</vt:lpstr>
      <vt:lpstr>pers_phy_res_max_months</vt:lpstr>
      <vt:lpstr>pers_phy_res_min_months</vt:lpstr>
      <vt:lpstr>prog_mngmt_max_amount_perc</vt:lpstr>
      <vt:lpstr>prog_mngmt_threshold_amount</vt:lpstr>
      <vt:lpstr>Project_title</vt:lpstr>
      <vt:lpstr>Research_leave_FTE_months</vt:lpstr>
      <vt:lpstr>row_cofunding</vt:lpstr>
      <vt:lpstr>threshold_inv_nature</vt:lpstr>
      <vt:lpstr>threshold_own_contribution</vt:lpstr>
      <vt:lpstr>Total_benchfee</vt:lpstr>
      <vt:lpstr>Total_cash_via_NWO</vt:lpstr>
      <vt:lpstr>Total_cofunding</vt:lpstr>
      <vt:lpstr>Total_cofunding_incash</vt:lpstr>
      <vt:lpstr>Total_cofunding_inkind</vt:lpstr>
      <vt:lpstr>Total_excess_costs</vt:lpstr>
      <vt:lpstr>Total_Fin_NWO</vt:lpstr>
      <vt:lpstr>Total_incash_cofunding</vt:lpstr>
      <vt:lpstr>Total_investments_small</vt:lpstr>
      <vt:lpstr>Total_Knowledge_utilisation</vt:lpstr>
      <vt:lpstr>Total_material_costs</vt:lpstr>
      <vt:lpstr>Total_NWO_funding</vt:lpstr>
      <vt:lpstr>Total_personnel_ac_institutes</vt:lpstr>
      <vt:lpstr>Total_personnel_costs</vt:lpstr>
      <vt:lpstr>total_private_cof</vt:lpstr>
      <vt:lpstr>total_private_cof_incash</vt:lpstr>
      <vt:lpstr>total_private_cof_inkind</vt:lpstr>
      <vt:lpstr>Total_project_budget</vt:lpstr>
      <vt:lpstr>Total_resources</vt:lpstr>
      <vt:lpstr>VSNU_rates</vt:lpstr>
    </vt:vector>
  </TitlesOfParts>
  <Company>NWO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NWO</dc:creator>
  <cp:lastModifiedBy>Yijun Hu</cp:lastModifiedBy>
  <cp:lastPrinted>2022-12-23T09:46:23Z</cp:lastPrinted>
  <dcterms:created xsi:type="dcterms:W3CDTF">2018-07-26T13:21:23Z</dcterms:created>
  <dcterms:modified xsi:type="dcterms:W3CDTF">2025-11-20T08:28:42Z</dcterms:modified>
</cp:coreProperties>
</file>